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88" activeTab="1"/>
  </bookViews>
  <sheets>
    <sheet name="Annual" sheetId="1" r:id="rId1"/>
    <sheet name="Monthly" sheetId="2" r:id="rId2"/>
  </sheets>
  <definedNames>
    <definedName name="MoPmt">'Monthly'!$C$11:$C$370</definedName>
    <definedName name="_xlnm.Print_Titles" localSheetId="1">'Monthly'!$9:$10</definedName>
  </definedNames>
  <calcPr fullCalcOnLoad="1"/>
</workbook>
</file>

<file path=xl/sharedStrings.xml><?xml version="1.0" encoding="utf-8"?>
<sst xmlns="http://schemas.openxmlformats.org/spreadsheetml/2006/main" count="63" uniqueCount="34">
  <si>
    <t>Annual Loan Amortization</t>
  </si>
  <si>
    <t>At</t>
  </si>
  <si>
    <t>discount:</t>
  </si>
  <si>
    <t>Amount Borrowed:</t>
  </si>
  <si>
    <t>Loan Interest Rate (%):</t>
  </si>
  <si>
    <t>PV of payments:</t>
  </si>
  <si>
    <t>Years of Loan:</t>
  </si>
  <si>
    <t>Discount Rate (%):</t>
  </si>
  <si>
    <t>- (amount borrowed):</t>
  </si>
  <si>
    <t>Month of Pmt:</t>
  </si>
  <si>
    <t>Marginal Tax Rate (%):</t>
  </si>
  <si>
    <t>Net pre-tax cost (PV):</t>
  </si>
  <si>
    <t>Day of Pmt:</t>
  </si>
  <si>
    <t>Year 1st Pmt:</t>
  </si>
  <si>
    <t>PV of interest tax savings:</t>
  </si>
  <si>
    <t>Tax Savings</t>
  </si>
  <si>
    <t>Accumulated</t>
  </si>
  <si>
    <t>Date</t>
  </si>
  <si>
    <t>YR</t>
  </si>
  <si>
    <t>Payment</t>
  </si>
  <si>
    <t>Interest</t>
  </si>
  <si>
    <t>Princ</t>
  </si>
  <si>
    <t>Balance</t>
  </si>
  <si>
    <t>of Interest</t>
  </si>
  <si>
    <t>PV of Pmt</t>
  </si>
  <si>
    <t>PV Tax</t>
  </si>
  <si>
    <t>Totals:</t>
  </si>
  <si>
    <t>Monthly Loan Amortization</t>
  </si>
  <si>
    <t>Discount Rate (%, post-tax):</t>
  </si>
  <si>
    <t>CTRL-h Hide blank rows</t>
  </si>
  <si>
    <t>CTRL-i  Unhide blank rows</t>
  </si>
  <si>
    <t>Period</t>
  </si>
  <si>
    <t>Extra</t>
  </si>
  <si>
    <t>Be sure to enable macros - See Security Settings beow menu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</si>
</sst>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;;;"/>
    <numFmt numFmtId="168" formatCode="dd\-mmm\-yy_)"/>
    <numFmt numFmtId="169" formatCode="0.0"/>
    <numFmt numFmtId="170" formatCode="0.0000"/>
    <numFmt numFmtId="171" formatCode="0.000"/>
    <numFmt numFmtId="172" formatCode="0.0_)"/>
    <numFmt numFmtId="173" formatCode="_(* #,##0.0_);_(* \(#,##0.0\);_(* &quot;-&quot;??_);_(@_)"/>
    <numFmt numFmtId="174" formatCode="_(* #,##0_);_(* \(#,##0\);_(* &quot;-&quot;??_);_(@_)"/>
    <numFmt numFmtId="175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99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6" fontId="0" fillId="0" borderId="10" xfId="0" applyNumberFormat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 horizontal="centerContinuous"/>
    </xf>
    <xf numFmtId="165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65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13" xfId="42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43" fontId="0" fillId="0" borderId="0" xfId="42" applyFont="1" applyAlignment="1" applyProtection="1">
      <alignment/>
      <protection/>
    </xf>
    <xf numFmtId="43" fontId="0" fillId="0" borderId="0" xfId="42" applyFont="1" applyBorder="1" applyAlignment="1" applyProtection="1">
      <alignment/>
      <protection/>
    </xf>
    <xf numFmtId="43" fontId="0" fillId="0" borderId="10" xfId="42" applyFont="1" applyBorder="1" applyAlignment="1" applyProtection="1">
      <alignment/>
      <protection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applyProtection="1">
      <alignment/>
      <protection/>
    </xf>
    <xf numFmtId="174" fontId="0" fillId="0" borderId="0" xfId="42" applyNumberFormat="1" applyFont="1" applyBorder="1" applyAlignment="1" applyProtection="1">
      <alignment/>
      <protection/>
    </xf>
    <xf numFmtId="174" fontId="0" fillId="0" borderId="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0" xfId="42" applyNumberFormat="1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9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right"/>
    </xf>
    <xf numFmtId="10" fontId="0" fillId="0" borderId="21" xfId="57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Border="1" applyAlignment="1" quotePrefix="1">
      <alignment/>
    </xf>
    <xf numFmtId="0" fontId="0" fillId="0" borderId="10" xfId="0" applyBorder="1" applyAlignment="1">
      <alignment/>
    </xf>
    <xf numFmtId="174" fontId="0" fillId="0" borderId="24" xfId="42" applyNumberFormat="1" applyFont="1" applyBorder="1" applyAlignment="1">
      <alignment/>
    </xf>
    <xf numFmtId="0" fontId="7" fillId="0" borderId="0" xfId="0" applyNumberFormat="1" applyFont="1" applyFill="1" applyAlignment="1" applyProtection="1">
      <alignment/>
      <protection/>
    </xf>
    <xf numFmtId="174" fontId="4" fillId="0" borderId="0" xfId="42" applyNumberFormat="1" applyFont="1" applyAlignment="1" applyProtection="1">
      <alignment/>
      <protection locked="0"/>
    </xf>
    <xf numFmtId="0" fontId="4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C3" sqref="C3"/>
    </sheetView>
  </sheetViews>
  <sheetFormatPr defaultColWidth="11.00390625" defaultRowHeight="12.75"/>
  <cols>
    <col min="1" max="1" width="9.140625" style="0" customWidth="1"/>
    <col min="2" max="2" width="6.421875" style="0" customWidth="1"/>
    <col min="3" max="6" width="11.00390625" style="0" customWidth="1"/>
    <col min="7" max="7" width="12.8515625" style="0" customWidth="1"/>
    <col min="8" max="8" width="11.140625" style="0" customWidth="1"/>
    <col min="9" max="9" width="12.140625" style="0" customWidth="1"/>
    <col min="10" max="10" width="10.57421875" style="0" customWidth="1"/>
    <col min="11" max="11" width="11.7109375" style="0" customWidth="1"/>
  </cols>
  <sheetData>
    <row r="1" s="19" customFormat="1" ht="18" thickBot="1">
      <c r="A1" s="18" t="s">
        <v>0</v>
      </c>
    </row>
    <row r="2" spans="10:12" ht="13.5" thickBot="1">
      <c r="J2" s="46" t="s">
        <v>1</v>
      </c>
      <c r="K2" s="47">
        <f>H4/100</f>
        <v>0.07</v>
      </c>
      <c r="L2" s="48" t="s">
        <v>2</v>
      </c>
    </row>
    <row r="3" spans="1:12" ht="12.75">
      <c r="A3" s="1" t="s">
        <v>3</v>
      </c>
      <c r="C3" s="53">
        <v>25000</v>
      </c>
      <c r="D3" s="53"/>
      <c r="F3" s="1" t="s">
        <v>4</v>
      </c>
      <c r="H3" s="12">
        <v>10</v>
      </c>
      <c r="I3" s="3">
        <f>H3/100</f>
        <v>0.1</v>
      </c>
      <c r="J3" s="43" t="s">
        <v>5</v>
      </c>
      <c r="K3" s="28"/>
      <c r="L3" s="44">
        <f>MAX(K11:K40)</f>
        <v>28576.388784214887</v>
      </c>
    </row>
    <row r="4" spans="1:12" ht="12.75">
      <c r="A4" s="1" t="s">
        <v>6</v>
      </c>
      <c r="C4" s="11">
        <v>10</v>
      </c>
      <c r="D4" s="11"/>
      <c r="F4" s="2" t="s">
        <v>7</v>
      </c>
      <c r="G4" s="2"/>
      <c r="H4" s="13">
        <v>7</v>
      </c>
      <c r="I4" s="3">
        <f>H4/100</f>
        <v>0.07</v>
      </c>
      <c r="J4" s="49" t="s">
        <v>8</v>
      </c>
      <c r="K4" s="50"/>
      <c r="L4" s="51">
        <f>-C3</f>
        <v>-25000</v>
      </c>
    </row>
    <row r="5" spans="1:12" ht="12.75">
      <c r="A5" s="1" t="s">
        <v>9</v>
      </c>
      <c r="C5" s="11">
        <v>1</v>
      </c>
      <c r="D5" s="11"/>
      <c r="F5" t="s">
        <v>10</v>
      </c>
      <c r="H5" s="13">
        <v>25</v>
      </c>
      <c r="I5" s="3">
        <f>H5/100</f>
        <v>0.25</v>
      </c>
      <c r="J5" s="43" t="s">
        <v>11</v>
      </c>
      <c r="K5" s="28"/>
      <c r="L5" s="44">
        <f>L3+L4</f>
        <v>3576.388784214887</v>
      </c>
    </row>
    <row r="6" spans="1:12" ht="12.75">
      <c r="A6" s="1" t="s">
        <v>12</v>
      </c>
      <c r="C6" s="11">
        <v>30</v>
      </c>
      <c r="D6" s="11"/>
      <c r="J6" s="43"/>
      <c r="K6" s="28"/>
      <c r="L6" s="45"/>
    </row>
    <row r="7" spans="1:12" ht="13.5" thickBot="1">
      <c r="A7" s="1" t="s">
        <v>13</v>
      </c>
      <c r="C7" s="11">
        <v>2006</v>
      </c>
      <c r="D7" s="11"/>
      <c r="E7" s="52" t="str">
        <f>IF(C7&lt;1900,"Bad Year"," ")</f>
        <v> </v>
      </c>
      <c r="J7" s="20" t="s">
        <v>14</v>
      </c>
      <c r="K7" s="21"/>
      <c r="L7" s="22">
        <f>MAX(L11:L40)</f>
        <v>2980.323986845743</v>
      </c>
    </row>
    <row r="8" spans="1:12" ht="12.75">
      <c r="A8" s="1"/>
      <c r="C8" s="11"/>
      <c r="D8" s="11"/>
      <c r="E8" s="3"/>
      <c r="J8" s="28"/>
      <c r="K8" s="28"/>
      <c r="L8" s="36"/>
    </row>
    <row r="9" spans="8:12" ht="12.75">
      <c r="H9" s="14" t="s">
        <v>15</v>
      </c>
      <c r="I9" s="10" t="s">
        <v>16</v>
      </c>
      <c r="J9" s="10"/>
      <c r="K9" s="10"/>
      <c r="L9" s="10"/>
    </row>
    <row r="10" spans="1:12" ht="12.75">
      <c r="A10" s="5" t="s">
        <v>17</v>
      </c>
      <c r="B10" s="5" t="s">
        <v>18</v>
      </c>
      <c r="C10" s="6" t="s">
        <v>19</v>
      </c>
      <c r="D10" s="6" t="s">
        <v>32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20</v>
      </c>
      <c r="J10" s="6" t="s">
        <v>21</v>
      </c>
      <c r="K10" s="15" t="s">
        <v>24</v>
      </c>
      <c r="L10" s="15" t="s">
        <v>25</v>
      </c>
    </row>
    <row r="11" spans="1:12" ht="12.75">
      <c r="A11" s="7">
        <f>DATE(C7,C5,C6)</f>
        <v>38747</v>
      </c>
      <c r="B11" s="4">
        <v>1</v>
      </c>
      <c r="C11" s="29">
        <f>PMT(I3,C4,-C3)</f>
        <v>4068.6348720627902</v>
      </c>
      <c r="D11" s="29"/>
      <c r="E11" s="29">
        <f>I3*C3</f>
        <v>2500</v>
      </c>
      <c r="F11" s="29">
        <f>C11-E11+D11</f>
        <v>1568.6348720627902</v>
      </c>
      <c r="G11" s="29">
        <f>C3-F11</f>
        <v>23431.36512793721</v>
      </c>
      <c r="H11" s="34">
        <f>E11*$I$5</f>
        <v>625</v>
      </c>
      <c r="I11" s="34">
        <f>E11</f>
        <v>2500</v>
      </c>
      <c r="J11" s="34">
        <f>F11</f>
        <v>1568.6348720627902</v>
      </c>
      <c r="K11" s="33">
        <f>C11/(1+$I$4)^B11</f>
        <v>3802.462497254944</v>
      </c>
      <c r="L11" s="33">
        <f>H11/(1+$I$4)^B11</f>
        <v>584.1121495327102</v>
      </c>
    </row>
    <row r="12" spans="1:12" ht="12.75">
      <c r="A12" s="7">
        <f aca="true" t="shared" si="0" ref="A12:A40">DATE((YEAR(A11)-1900)+1,$C$5,$C$6)</f>
        <v>39112</v>
      </c>
      <c r="B12" s="4">
        <f aca="true" t="shared" si="1" ref="B12:B27">B11+1</f>
        <v>2</v>
      </c>
      <c r="C12" s="29">
        <f aca="true" t="shared" si="2" ref="C12:C40">IF(G11&gt;0.5,C11,"")</f>
        <v>4068.6348720627902</v>
      </c>
      <c r="D12" s="29"/>
      <c r="E12" s="29">
        <f aca="true" t="shared" si="3" ref="E12:E40">IF(G11&gt;0.5,$I$3*G11,"")</f>
        <v>2343.136512793721</v>
      </c>
      <c r="F12" s="29">
        <f>IF(G11&gt;0.5,C12-E12+D12,"")</f>
        <v>1725.4983592690692</v>
      </c>
      <c r="G12" s="29">
        <f aca="true" t="shared" si="4" ref="G12:G40">IF(G11&gt;0.5,G11-F12,0)</f>
        <v>21705.86676866814</v>
      </c>
      <c r="H12" s="34">
        <f>IF(G11&gt;0.5,E12*$I$5,"")</f>
        <v>585.7841281984303</v>
      </c>
      <c r="I12" s="34">
        <f aca="true" t="shared" si="5" ref="I12:I40">IF(G11&gt;0.5,I11+E12,"")</f>
        <v>4843.136512793721</v>
      </c>
      <c r="J12" s="34">
        <f aca="true" t="shared" si="6" ref="J12:J40">IF(G11&gt;0.5,J11+F12,"")</f>
        <v>3294.1332313318594</v>
      </c>
      <c r="K12" s="33">
        <f>IF(G11&gt;0.5,C12/(1+$I$4)^B12+K11,"")</f>
        <v>7356.165765717509</v>
      </c>
      <c r="L12" s="33">
        <f>IF(G11&gt;0.5,H12/(1+$I$4)^B12+L11,"")</f>
        <v>1095.7586935089791</v>
      </c>
    </row>
    <row r="13" spans="1:12" ht="12.75">
      <c r="A13" s="7">
        <f t="shared" si="0"/>
        <v>39477</v>
      </c>
      <c r="B13" s="4">
        <f t="shared" si="1"/>
        <v>3</v>
      </c>
      <c r="C13" s="29">
        <f t="shared" si="2"/>
        <v>4068.6348720627902</v>
      </c>
      <c r="D13" s="29"/>
      <c r="E13" s="29">
        <f t="shared" si="3"/>
        <v>2170.5866768668143</v>
      </c>
      <c r="F13" s="29">
        <f aca="true" t="shared" si="7" ref="F13:F40">IF(G12&gt;0.5,C13-E13+D13,"")</f>
        <v>1898.048195195976</v>
      </c>
      <c r="G13" s="29">
        <f t="shared" si="4"/>
        <v>19807.818573472163</v>
      </c>
      <c r="H13" s="34">
        <f aca="true" t="shared" si="8" ref="H13:H28">IF(G12&gt;0.5,E13*$I$5,"")</f>
        <v>542.6466692167036</v>
      </c>
      <c r="I13" s="34">
        <f t="shared" si="5"/>
        <v>7013.723189660535</v>
      </c>
      <c r="J13" s="34">
        <f t="shared" si="6"/>
        <v>5192.181426527835</v>
      </c>
      <c r="K13" s="33">
        <f aca="true" t="shared" si="9" ref="K13:K28">IF(G12&gt;0.5,C13/(1+$I$4)^B13+K12,"")</f>
        <v>10677.383773626447</v>
      </c>
      <c r="L13" s="33">
        <f aca="true" t="shared" si="10" ref="L13:L28">IF(G12&gt;0.5,H13/(1+$I$4)^B13+L12,"")</f>
        <v>1538.7200174924667</v>
      </c>
    </row>
    <row r="14" spans="1:12" ht="12.75">
      <c r="A14" s="7">
        <f t="shared" si="0"/>
        <v>39843</v>
      </c>
      <c r="B14" s="4">
        <f t="shared" si="1"/>
        <v>4</v>
      </c>
      <c r="C14" s="29">
        <f t="shared" si="2"/>
        <v>4068.6348720627902</v>
      </c>
      <c r="D14" s="29"/>
      <c r="E14" s="29">
        <f t="shared" si="3"/>
        <v>1980.7818573472164</v>
      </c>
      <c r="F14" s="29">
        <f t="shared" si="7"/>
        <v>2087.853014715574</v>
      </c>
      <c r="G14" s="29">
        <f t="shared" si="4"/>
        <v>17719.96555875659</v>
      </c>
      <c r="H14" s="34">
        <f t="shared" si="8"/>
        <v>495.1954643368041</v>
      </c>
      <c r="I14" s="34">
        <f t="shared" si="5"/>
        <v>8994.505047007751</v>
      </c>
      <c r="J14" s="34">
        <f t="shared" si="6"/>
        <v>7280.03444124341</v>
      </c>
      <c r="K14" s="33">
        <f t="shared" si="9"/>
        <v>13781.325837092745</v>
      </c>
      <c r="L14" s="33">
        <f t="shared" si="10"/>
        <v>1916.5022662626657</v>
      </c>
    </row>
    <row r="15" spans="1:12" ht="12.75">
      <c r="A15" s="7">
        <f t="shared" si="0"/>
        <v>40208</v>
      </c>
      <c r="B15" s="4">
        <f t="shared" si="1"/>
        <v>5</v>
      </c>
      <c r="C15" s="29">
        <f t="shared" si="2"/>
        <v>4068.6348720627902</v>
      </c>
      <c r="D15" s="29"/>
      <c r="E15" s="29">
        <f t="shared" si="3"/>
        <v>1771.9965558756592</v>
      </c>
      <c r="F15" s="29">
        <f t="shared" si="7"/>
        <v>2296.638316187131</v>
      </c>
      <c r="G15" s="29">
        <f t="shared" si="4"/>
        <v>15423.32724256946</v>
      </c>
      <c r="H15" s="34">
        <f t="shared" si="8"/>
        <v>442.9991389689148</v>
      </c>
      <c r="I15" s="34">
        <f t="shared" si="5"/>
        <v>10766.50160288341</v>
      </c>
      <c r="J15" s="34">
        <f t="shared" si="6"/>
        <v>9576.67275743054</v>
      </c>
      <c r="K15" s="33">
        <f t="shared" si="9"/>
        <v>16682.206270238818</v>
      </c>
      <c r="L15" s="33">
        <f t="shared" si="10"/>
        <v>2232.3545298706667</v>
      </c>
    </row>
    <row r="16" spans="1:12" ht="12.75">
      <c r="A16" s="7">
        <f t="shared" si="0"/>
        <v>40573</v>
      </c>
      <c r="B16" s="4">
        <f t="shared" si="1"/>
        <v>6</v>
      </c>
      <c r="C16" s="29">
        <f t="shared" si="2"/>
        <v>4068.6348720627902</v>
      </c>
      <c r="D16" s="29"/>
      <c r="E16" s="29">
        <f t="shared" si="3"/>
        <v>1542.332724256946</v>
      </c>
      <c r="F16" s="29">
        <f t="shared" si="7"/>
        <v>2526.3021478058445</v>
      </c>
      <c r="G16" s="29">
        <f t="shared" si="4"/>
        <v>12897.025094763616</v>
      </c>
      <c r="H16" s="34">
        <f t="shared" si="8"/>
        <v>385.5831810642365</v>
      </c>
      <c r="I16" s="34">
        <f t="shared" si="5"/>
        <v>12308.834327140357</v>
      </c>
      <c r="J16" s="34">
        <f t="shared" si="6"/>
        <v>12102.974905236384</v>
      </c>
      <c r="K16" s="33">
        <f t="shared" si="9"/>
        <v>19393.30947878655</v>
      </c>
      <c r="L16" s="33">
        <f t="shared" si="10"/>
        <v>2489.2848842072553</v>
      </c>
    </row>
    <row r="17" spans="1:12" ht="12.75">
      <c r="A17" s="7">
        <f t="shared" si="0"/>
        <v>40938</v>
      </c>
      <c r="B17" s="4">
        <f t="shared" si="1"/>
        <v>7</v>
      </c>
      <c r="C17" s="29">
        <f t="shared" si="2"/>
        <v>4068.6348720627902</v>
      </c>
      <c r="D17" s="29"/>
      <c r="E17" s="29">
        <f t="shared" si="3"/>
        <v>1289.7025094763617</v>
      </c>
      <c r="F17" s="29">
        <f t="shared" si="7"/>
        <v>2778.9323625864286</v>
      </c>
      <c r="G17" s="29">
        <f t="shared" si="4"/>
        <v>10118.092732177187</v>
      </c>
      <c r="H17" s="34">
        <f t="shared" si="8"/>
        <v>322.4256273690904</v>
      </c>
      <c r="I17" s="34">
        <f t="shared" si="5"/>
        <v>13598.536836616719</v>
      </c>
      <c r="J17" s="34">
        <f t="shared" si="6"/>
        <v>14881.907267822813</v>
      </c>
      <c r="K17" s="33">
        <f t="shared" si="9"/>
        <v>21927.050795186296</v>
      </c>
      <c r="L17" s="33">
        <f t="shared" si="10"/>
        <v>2690.0753604283336</v>
      </c>
    </row>
    <row r="18" spans="1:12" ht="12.75">
      <c r="A18" s="7">
        <f t="shared" si="0"/>
        <v>41304</v>
      </c>
      <c r="B18" s="4">
        <f t="shared" si="1"/>
        <v>8</v>
      </c>
      <c r="C18" s="29">
        <f t="shared" si="2"/>
        <v>4068.6348720627902</v>
      </c>
      <c r="D18" s="29"/>
      <c r="E18" s="29">
        <f t="shared" si="3"/>
        <v>1011.8092732177188</v>
      </c>
      <c r="F18" s="29">
        <f t="shared" si="7"/>
        <v>3056.8255988450715</v>
      </c>
      <c r="G18" s="29">
        <f t="shared" si="4"/>
        <v>7061.267133332116</v>
      </c>
      <c r="H18" s="34">
        <f t="shared" si="8"/>
        <v>252.9523183044297</v>
      </c>
      <c r="I18" s="34">
        <f t="shared" si="5"/>
        <v>14610.346109834438</v>
      </c>
      <c r="J18" s="34">
        <f t="shared" si="6"/>
        <v>17938.732866667884</v>
      </c>
      <c r="K18" s="33">
        <f t="shared" si="9"/>
        <v>24295.03333387765</v>
      </c>
      <c r="L18" s="33">
        <f t="shared" si="10"/>
        <v>2837.2959127023455</v>
      </c>
    </row>
    <row r="19" spans="1:12" ht="12.75">
      <c r="A19" s="7">
        <f t="shared" si="0"/>
        <v>41669</v>
      </c>
      <c r="B19" s="4">
        <f t="shared" si="1"/>
        <v>9</v>
      </c>
      <c r="C19" s="29">
        <f t="shared" si="2"/>
        <v>4068.6348720627902</v>
      </c>
      <c r="D19" s="29"/>
      <c r="E19" s="29">
        <f t="shared" si="3"/>
        <v>706.1267133332117</v>
      </c>
      <c r="F19" s="29">
        <f t="shared" si="7"/>
        <v>3362.5081587295786</v>
      </c>
      <c r="G19" s="29">
        <f t="shared" si="4"/>
        <v>3698.7589746025374</v>
      </c>
      <c r="H19" s="34">
        <f t="shared" si="8"/>
        <v>176.53167833330292</v>
      </c>
      <c r="I19" s="34">
        <f t="shared" si="5"/>
        <v>15316.472823167649</v>
      </c>
      <c r="J19" s="34">
        <f t="shared" si="6"/>
        <v>21301.241025397463</v>
      </c>
      <c r="K19" s="33">
        <f t="shared" si="9"/>
        <v>26508.10112704714</v>
      </c>
      <c r="L19" s="33">
        <f t="shared" si="10"/>
        <v>2933.31744918284</v>
      </c>
    </row>
    <row r="20" spans="1:12" ht="12.75">
      <c r="A20" s="7">
        <f t="shared" si="0"/>
        <v>42034</v>
      </c>
      <c r="B20" s="4">
        <f t="shared" si="1"/>
        <v>10</v>
      </c>
      <c r="C20" s="29">
        <f t="shared" si="2"/>
        <v>4068.6348720627902</v>
      </c>
      <c r="D20" s="29"/>
      <c r="E20" s="29">
        <f t="shared" si="3"/>
        <v>369.8758974602538</v>
      </c>
      <c r="F20" s="29">
        <f t="shared" si="7"/>
        <v>3698.7589746025365</v>
      </c>
      <c r="G20" s="29">
        <f t="shared" si="4"/>
        <v>9.094947017729282E-13</v>
      </c>
      <c r="H20" s="34">
        <f t="shared" si="8"/>
        <v>92.46897436506345</v>
      </c>
      <c r="I20" s="34">
        <f t="shared" si="5"/>
        <v>15686.348720627902</v>
      </c>
      <c r="J20" s="34">
        <f t="shared" si="6"/>
        <v>25000</v>
      </c>
      <c r="K20" s="33">
        <f t="shared" si="9"/>
        <v>28576.388784214887</v>
      </c>
      <c r="L20" s="33">
        <f t="shared" si="10"/>
        <v>2980.323986845743</v>
      </c>
    </row>
    <row r="21" spans="1:12" ht="12.75">
      <c r="A21" s="7">
        <f t="shared" si="0"/>
        <v>42399</v>
      </c>
      <c r="B21" s="4">
        <f t="shared" si="1"/>
        <v>11</v>
      </c>
      <c r="C21" s="29">
        <f t="shared" si="2"/>
      </c>
      <c r="D21" s="29"/>
      <c r="E21" s="29">
        <f t="shared" si="3"/>
      </c>
      <c r="F21" s="29">
        <f t="shared" si="7"/>
      </c>
      <c r="G21" s="29">
        <f t="shared" si="4"/>
        <v>0</v>
      </c>
      <c r="H21" s="34">
        <f t="shared" si="8"/>
      </c>
      <c r="I21" s="34">
        <f t="shared" si="5"/>
      </c>
      <c r="J21" s="34">
        <f t="shared" si="6"/>
      </c>
      <c r="K21" s="33">
        <f t="shared" si="9"/>
      </c>
      <c r="L21" s="33">
        <f t="shared" si="10"/>
      </c>
    </row>
    <row r="22" spans="1:12" ht="12.75">
      <c r="A22" s="7">
        <f t="shared" si="0"/>
        <v>42765</v>
      </c>
      <c r="B22" s="4">
        <f t="shared" si="1"/>
        <v>12</v>
      </c>
      <c r="C22" s="29">
        <f t="shared" si="2"/>
      </c>
      <c r="D22" s="29"/>
      <c r="E22" s="29">
        <f t="shared" si="3"/>
      </c>
      <c r="F22" s="29">
        <f t="shared" si="7"/>
      </c>
      <c r="G22" s="29">
        <f t="shared" si="4"/>
        <v>0</v>
      </c>
      <c r="H22" s="34">
        <f t="shared" si="8"/>
      </c>
      <c r="I22" s="34">
        <f t="shared" si="5"/>
      </c>
      <c r="J22" s="34">
        <f t="shared" si="6"/>
      </c>
      <c r="K22" s="33">
        <f t="shared" si="9"/>
      </c>
      <c r="L22" s="33">
        <f t="shared" si="10"/>
      </c>
    </row>
    <row r="23" spans="1:12" ht="12.75">
      <c r="A23" s="7">
        <f t="shared" si="0"/>
        <v>43130</v>
      </c>
      <c r="B23" s="4">
        <f t="shared" si="1"/>
        <v>13</v>
      </c>
      <c r="C23" s="29">
        <f t="shared" si="2"/>
      </c>
      <c r="D23" s="29"/>
      <c r="E23" s="29">
        <f t="shared" si="3"/>
      </c>
      <c r="F23" s="29">
        <f t="shared" si="7"/>
      </c>
      <c r="G23" s="29">
        <f t="shared" si="4"/>
        <v>0</v>
      </c>
      <c r="H23" s="34">
        <f t="shared" si="8"/>
      </c>
      <c r="I23" s="34">
        <f t="shared" si="5"/>
      </c>
      <c r="J23" s="34">
        <f t="shared" si="6"/>
      </c>
      <c r="K23" s="33">
        <f t="shared" si="9"/>
      </c>
      <c r="L23" s="33">
        <f t="shared" si="10"/>
      </c>
    </row>
    <row r="24" spans="1:12" ht="12.75">
      <c r="A24" s="7">
        <f t="shared" si="0"/>
        <v>43495</v>
      </c>
      <c r="B24" s="4">
        <f t="shared" si="1"/>
        <v>14</v>
      </c>
      <c r="C24" s="29">
        <f t="shared" si="2"/>
      </c>
      <c r="D24" s="29"/>
      <c r="E24" s="29">
        <f t="shared" si="3"/>
      </c>
      <c r="F24" s="29">
        <f t="shared" si="7"/>
      </c>
      <c r="G24" s="29">
        <f t="shared" si="4"/>
        <v>0</v>
      </c>
      <c r="H24" s="34">
        <f t="shared" si="8"/>
      </c>
      <c r="I24" s="34">
        <f t="shared" si="5"/>
      </c>
      <c r="J24" s="34">
        <f t="shared" si="6"/>
      </c>
      <c r="K24" s="33">
        <f t="shared" si="9"/>
      </c>
      <c r="L24" s="33">
        <f t="shared" si="10"/>
      </c>
    </row>
    <row r="25" spans="1:12" ht="12.75">
      <c r="A25" s="7">
        <f t="shared" si="0"/>
        <v>43860</v>
      </c>
      <c r="B25" s="4">
        <f t="shared" si="1"/>
        <v>15</v>
      </c>
      <c r="C25" s="29">
        <f t="shared" si="2"/>
      </c>
      <c r="D25" s="29"/>
      <c r="E25" s="29">
        <f t="shared" si="3"/>
      </c>
      <c r="F25" s="29">
        <f t="shared" si="7"/>
      </c>
      <c r="G25" s="29">
        <f t="shared" si="4"/>
        <v>0</v>
      </c>
      <c r="H25" s="34">
        <f t="shared" si="8"/>
      </c>
      <c r="I25" s="34">
        <f t="shared" si="5"/>
      </c>
      <c r="J25" s="34">
        <f t="shared" si="6"/>
      </c>
      <c r="K25" s="33">
        <f t="shared" si="9"/>
      </c>
      <c r="L25" s="33">
        <f t="shared" si="10"/>
      </c>
    </row>
    <row r="26" spans="1:12" ht="12.75">
      <c r="A26" s="7">
        <f t="shared" si="0"/>
        <v>44226</v>
      </c>
      <c r="B26" s="4">
        <f t="shared" si="1"/>
        <v>16</v>
      </c>
      <c r="C26" s="29">
        <f t="shared" si="2"/>
      </c>
      <c r="D26" s="29"/>
      <c r="E26" s="29">
        <f t="shared" si="3"/>
      </c>
      <c r="F26" s="29">
        <f t="shared" si="7"/>
      </c>
      <c r="G26" s="29">
        <f t="shared" si="4"/>
        <v>0</v>
      </c>
      <c r="H26" s="34">
        <f t="shared" si="8"/>
      </c>
      <c r="I26" s="34">
        <f t="shared" si="5"/>
      </c>
      <c r="J26" s="34">
        <f t="shared" si="6"/>
      </c>
      <c r="K26" s="33">
        <f t="shared" si="9"/>
      </c>
      <c r="L26" s="33">
        <f t="shared" si="10"/>
      </c>
    </row>
    <row r="27" spans="1:12" ht="12.75">
      <c r="A27" s="7">
        <f t="shared" si="0"/>
        <v>44591</v>
      </c>
      <c r="B27" s="4">
        <f t="shared" si="1"/>
        <v>17</v>
      </c>
      <c r="C27" s="29">
        <f t="shared" si="2"/>
      </c>
      <c r="D27" s="29"/>
      <c r="E27" s="29">
        <f t="shared" si="3"/>
      </c>
      <c r="F27" s="29">
        <f t="shared" si="7"/>
      </c>
      <c r="G27" s="29">
        <f t="shared" si="4"/>
        <v>0</v>
      </c>
      <c r="H27" s="34">
        <f t="shared" si="8"/>
      </c>
      <c r="I27" s="34">
        <f t="shared" si="5"/>
      </c>
      <c r="J27" s="34">
        <f t="shared" si="6"/>
      </c>
      <c r="K27" s="33">
        <f t="shared" si="9"/>
      </c>
      <c r="L27" s="33">
        <f t="shared" si="10"/>
      </c>
    </row>
    <row r="28" spans="1:12" ht="12.75">
      <c r="A28" s="7">
        <f t="shared" si="0"/>
        <v>44956</v>
      </c>
      <c r="B28" s="4">
        <f aca="true" t="shared" si="11" ref="B28:B40">B27+1</f>
        <v>18</v>
      </c>
      <c r="C28" s="29">
        <f t="shared" si="2"/>
      </c>
      <c r="D28" s="29"/>
      <c r="E28" s="29">
        <f t="shared" si="3"/>
      </c>
      <c r="F28" s="29">
        <f t="shared" si="7"/>
      </c>
      <c r="G28" s="29">
        <f t="shared" si="4"/>
        <v>0</v>
      </c>
      <c r="H28" s="34">
        <f t="shared" si="8"/>
      </c>
      <c r="I28" s="34">
        <f t="shared" si="5"/>
      </c>
      <c r="J28" s="34">
        <f t="shared" si="6"/>
      </c>
      <c r="K28" s="33">
        <f t="shared" si="9"/>
      </c>
      <c r="L28" s="33">
        <f t="shared" si="10"/>
      </c>
    </row>
    <row r="29" spans="1:12" ht="12.75">
      <c r="A29" s="7">
        <f t="shared" si="0"/>
        <v>45321</v>
      </c>
      <c r="B29" s="4">
        <f t="shared" si="11"/>
        <v>19</v>
      </c>
      <c r="C29" s="29">
        <f t="shared" si="2"/>
      </c>
      <c r="D29" s="29"/>
      <c r="E29" s="29">
        <f t="shared" si="3"/>
      </c>
      <c r="F29" s="29">
        <f t="shared" si="7"/>
      </c>
      <c r="G29" s="29">
        <f t="shared" si="4"/>
        <v>0</v>
      </c>
      <c r="H29" s="34">
        <f aca="true" t="shared" si="12" ref="H29:H40">IF(G28&gt;0.5,E29*$I$5,"")</f>
      </c>
      <c r="I29" s="34">
        <f t="shared" si="5"/>
      </c>
      <c r="J29" s="34">
        <f t="shared" si="6"/>
      </c>
      <c r="K29" s="33">
        <f aca="true" t="shared" si="13" ref="K29:K40">IF(G28&gt;0.5,C29/(1+$I$4)^B29+K28,"")</f>
      </c>
      <c r="L29" s="33">
        <f aca="true" t="shared" si="14" ref="L29:L40">IF(G28&gt;0.5,H29/(1+$I$4)^B29+L28,"")</f>
      </c>
    </row>
    <row r="30" spans="1:12" ht="12.75">
      <c r="A30" s="7">
        <f t="shared" si="0"/>
        <v>45687</v>
      </c>
      <c r="B30" s="4">
        <f t="shared" si="11"/>
        <v>20</v>
      </c>
      <c r="C30" s="29">
        <f t="shared" si="2"/>
      </c>
      <c r="D30" s="29"/>
      <c r="E30" s="29">
        <f t="shared" si="3"/>
      </c>
      <c r="F30" s="29">
        <f t="shared" si="7"/>
      </c>
      <c r="G30" s="29">
        <f t="shared" si="4"/>
        <v>0</v>
      </c>
      <c r="H30" s="34">
        <f t="shared" si="12"/>
      </c>
      <c r="I30" s="34">
        <f t="shared" si="5"/>
      </c>
      <c r="J30" s="34">
        <f t="shared" si="6"/>
      </c>
      <c r="K30" s="33">
        <f t="shared" si="13"/>
      </c>
      <c r="L30" s="33">
        <f t="shared" si="14"/>
      </c>
    </row>
    <row r="31" spans="1:12" ht="12.75">
      <c r="A31" s="7">
        <f t="shared" si="0"/>
        <v>46052</v>
      </c>
      <c r="B31" s="4">
        <f t="shared" si="11"/>
        <v>21</v>
      </c>
      <c r="C31" s="29">
        <f t="shared" si="2"/>
      </c>
      <c r="D31" s="29"/>
      <c r="E31" s="29">
        <f t="shared" si="3"/>
      </c>
      <c r="F31" s="29">
        <f t="shared" si="7"/>
      </c>
      <c r="G31" s="29">
        <f t="shared" si="4"/>
        <v>0</v>
      </c>
      <c r="H31" s="34">
        <f t="shared" si="12"/>
      </c>
      <c r="I31" s="34">
        <f t="shared" si="5"/>
      </c>
      <c r="J31" s="34">
        <f t="shared" si="6"/>
      </c>
      <c r="K31" s="33">
        <f t="shared" si="13"/>
      </c>
      <c r="L31" s="33">
        <f t="shared" si="14"/>
      </c>
    </row>
    <row r="32" spans="1:12" ht="12.75">
      <c r="A32" s="7">
        <f t="shared" si="0"/>
        <v>46417</v>
      </c>
      <c r="B32" s="4">
        <f t="shared" si="11"/>
        <v>22</v>
      </c>
      <c r="C32" s="29">
        <f t="shared" si="2"/>
      </c>
      <c r="D32" s="29"/>
      <c r="E32" s="29">
        <f t="shared" si="3"/>
      </c>
      <c r="F32" s="29">
        <f t="shared" si="7"/>
      </c>
      <c r="G32" s="29">
        <f t="shared" si="4"/>
        <v>0</v>
      </c>
      <c r="H32" s="34">
        <f t="shared" si="12"/>
      </c>
      <c r="I32" s="34">
        <f t="shared" si="5"/>
      </c>
      <c r="J32" s="34">
        <f t="shared" si="6"/>
      </c>
      <c r="K32" s="33">
        <f t="shared" si="13"/>
      </c>
      <c r="L32" s="33">
        <f t="shared" si="14"/>
      </c>
    </row>
    <row r="33" spans="1:12" ht="12.75">
      <c r="A33" s="7">
        <f t="shared" si="0"/>
        <v>46782</v>
      </c>
      <c r="B33" s="4">
        <f t="shared" si="11"/>
        <v>23</v>
      </c>
      <c r="C33" s="29">
        <f t="shared" si="2"/>
      </c>
      <c r="D33" s="29"/>
      <c r="E33" s="29">
        <f t="shared" si="3"/>
      </c>
      <c r="F33" s="29">
        <f t="shared" si="7"/>
      </c>
      <c r="G33" s="29">
        <f t="shared" si="4"/>
        <v>0</v>
      </c>
      <c r="H33" s="34">
        <f t="shared" si="12"/>
      </c>
      <c r="I33" s="34">
        <f t="shared" si="5"/>
      </c>
      <c r="J33" s="34">
        <f t="shared" si="6"/>
      </c>
      <c r="K33" s="33">
        <f t="shared" si="13"/>
      </c>
      <c r="L33" s="33">
        <f t="shared" si="14"/>
      </c>
    </row>
    <row r="34" spans="1:12" ht="12.75">
      <c r="A34" s="7">
        <f t="shared" si="0"/>
        <v>47148</v>
      </c>
      <c r="B34" s="4">
        <f t="shared" si="11"/>
        <v>24</v>
      </c>
      <c r="C34" s="29">
        <f t="shared" si="2"/>
      </c>
      <c r="D34" s="29"/>
      <c r="E34" s="29">
        <f t="shared" si="3"/>
      </c>
      <c r="F34" s="29">
        <f t="shared" si="7"/>
      </c>
      <c r="G34" s="29">
        <f t="shared" si="4"/>
        <v>0</v>
      </c>
      <c r="H34" s="34">
        <f t="shared" si="12"/>
      </c>
      <c r="I34" s="34">
        <f t="shared" si="5"/>
      </c>
      <c r="J34" s="34">
        <f t="shared" si="6"/>
      </c>
      <c r="K34" s="33">
        <f t="shared" si="13"/>
      </c>
      <c r="L34" s="33">
        <f t="shared" si="14"/>
      </c>
    </row>
    <row r="35" spans="1:12" ht="12.75">
      <c r="A35" s="7">
        <f t="shared" si="0"/>
        <v>47513</v>
      </c>
      <c r="B35" s="4">
        <f t="shared" si="11"/>
        <v>25</v>
      </c>
      <c r="C35" s="29">
        <f t="shared" si="2"/>
      </c>
      <c r="D35" s="29"/>
      <c r="E35" s="29">
        <f t="shared" si="3"/>
      </c>
      <c r="F35" s="29">
        <f t="shared" si="7"/>
      </c>
      <c r="G35" s="29">
        <f t="shared" si="4"/>
        <v>0</v>
      </c>
      <c r="H35" s="34">
        <f t="shared" si="12"/>
      </c>
      <c r="I35" s="34">
        <f t="shared" si="5"/>
      </c>
      <c r="J35" s="34">
        <f t="shared" si="6"/>
      </c>
      <c r="K35" s="33">
        <f t="shared" si="13"/>
      </c>
      <c r="L35" s="33">
        <f t="shared" si="14"/>
      </c>
    </row>
    <row r="36" spans="1:12" ht="12.75">
      <c r="A36" s="7">
        <f t="shared" si="0"/>
        <v>47878</v>
      </c>
      <c r="B36" s="4">
        <f t="shared" si="11"/>
        <v>26</v>
      </c>
      <c r="C36" s="29">
        <f t="shared" si="2"/>
      </c>
      <c r="D36" s="29"/>
      <c r="E36" s="29">
        <f t="shared" si="3"/>
      </c>
      <c r="F36" s="29">
        <f t="shared" si="7"/>
      </c>
      <c r="G36" s="29">
        <f t="shared" si="4"/>
        <v>0</v>
      </c>
      <c r="H36" s="34">
        <f t="shared" si="12"/>
      </c>
      <c r="I36" s="34">
        <f t="shared" si="5"/>
      </c>
      <c r="J36" s="34">
        <f t="shared" si="6"/>
      </c>
      <c r="K36" s="33">
        <f t="shared" si="13"/>
      </c>
      <c r="L36" s="33">
        <f t="shared" si="14"/>
      </c>
    </row>
    <row r="37" spans="1:12" ht="12.75">
      <c r="A37" s="7">
        <f t="shared" si="0"/>
        <v>48243</v>
      </c>
      <c r="B37" s="4">
        <f t="shared" si="11"/>
        <v>27</v>
      </c>
      <c r="C37" s="29">
        <f t="shared" si="2"/>
      </c>
      <c r="D37" s="29"/>
      <c r="E37" s="29">
        <f t="shared" si="3"/>
      </c>
      <c r="F37" s="29">
        <f t="shared" si="7"/>
      </c>
      <c r="G37" s="29">
        <f t="shared" si="4"/>
        <v>0</v>
      </c>
      <c r="H37" s="34">
        <f t="shared" si="12"/>
      </c>
      <c r="I37" s="34">
        <f t="shared" si="5"/>
      </c>
      <c r="J37" s="34">
        <f t="shared" si="6"/>
      </c>
      <c r="K37" s="33">
        <f t="shared" si="13"/>
      </c>
      <c r="L37" s="33">
        <f t="shared" si="14"/>
      </c>
    </row>
    <row r="38" spans="1:12" ht="12.75">
      <c r="A38" s="7">
        <f t="shared" si="0"/>
        <v>48609</v>
      </c>
      <c r="B38" s="4">
        <f t="shared" si="11"/>
        <v>28</v>
      </c>
      <c r="C38" s="29">
        <f t="shared" si="2"/>
      </c>
      <c r="D38" s="29"/>
      <c r="E38" s="29">
        <f t="shared" si="3"/>
      </c>
      <c r="F38" s="29">
        <f t="shared" si="7"/>
      </c>
      <c r="G38" s="29">
        <f t="shared" si="4"/>
        <v>0</v>
      </c>
      <c r="H38" s="34">
        <f t="shared" si="12"/>
      </c>
      <c r="I38" s="34">
        <f t="shared" si="5"/>
      </c>
      <c r="J38" s="34">
        <f t="shared" si="6"/>
      </c>
      <c r="K38" s="33">
        <f t="shared" si="13"/>
      </c>
      <c r="L38" s="33">
        <f t="shared" si="14"/>
      </c>
    </row>
    <row r="39" spans="1:12" ht="12.75">
      <c r="A39" s="7">
        <f t="shared" si="0"/>
        <v>48974</v>
      </c>
      <c r="B39" s="4">
        <f t="shared" si="11"/>
        <v>29</v>
      </c>
      <c r="C39" s="29">
        <f t="shared" si="2"/>
      </c>
      <c r="D39" s="29"/>
      <c r="E39" s="29">
        <f t="shared" si="3"/>
      </c>
      <c r="F39" s="29">
        <f t="shared" si="7"/>
      </c>
      <c r="G39" s="29">
        <f t="shared" si="4"/>
        <v>0</v>
      </c>
      <c r="H39" s="34">
        <f t="shared" si="12"/>
      </c>
      <c r="I39" s="34">
        <f t="shared" si="5"/>
      </c>
      <c r="J39" s="34">
        <f t="shared" si="6"/>
      </c>
      <c r="K39" s="33">
        <f t="shared" si="13"/>
      </c>
      <c r="L39" s="33">
        <f t="shared" si="14"/>
      </c>
    </row>
    <row r="40" spans="1:12" ht="12.75">
      <c r="A40" s="8">
        <f t="shared" si="0"/>
        <v>49339</v>
      </c>
      <c r="B40" s="9">
        <f t="shared" si="11"/>
        <v>30</v>
      </c>
      <c r="C40" s="31">
        <f t="shared" si="2"/>
      </c>
      <c r="D40" s="31"/>
      <c r="E40" s="31">
        <f t="shared" si="3"/>
      </c>
      <c r="F40" s="31">
        <f t="shared" si="7"/>
      </c>
      <c r="G40" s="31">
        <f t="shared" si="4"/>
        <v>0</v>
      </c>
      <c r="H40" s="38">
        <f t="shared" si="12"/>
      </c>
      <c r="I40" s="38">
        <f t="shared" si="5"/>
      </c>
      <c r="J40" s="38">
        <f t="shared" si="6"/>
      </c>
      <c r="K40" s="37">
        <f t="shared" si="13"/>
      </c>
      <c r="L40" s="37">
        <f t="shared" si="14"/>
      </c>
    </row>
    <row r="41" spans="2:12" ht="12.75">
      <c r="B41" s="1" t="s">
        <v>26</v>
      </c>
      <c r="C41" s="29">
        <f>SUM(C11:C40)</f>
        <v>40686.348720627895</v>
      </c>
      <c r="D41" s="29">
        <f>SUM(D11:D40)</f>
        <v>0</v>
      </c>
      <c r="E41" s="29">
        <f>SUM(E11:E40)</f>
        <v>15686.348720627902</v>
      </c>
      <c r="F41" s="29">
        <f>SUM(F11:F40)</f>
        <v>25000</v>
      </c>
      <c r="G41" s="32"/>
      <c r="H41" s="34">
        <f>SUM(H11:H40)</f>
        <v>3921.5871801569756</v>
      </c>
      <c r="I41" s="33"/>
      <c r="J41" s="33"/>
      <c r="K41" s="33"/>
      <c r="L41" s="33"/>
    </row>
  </sheetData>
  <sheetProtection/>
  <printOptions/>
  <pageMargins left="1" right="1" top="1" bottom="1" header="0.5" footer="0.5"/>
  <pageSetup fitToHeight="1" fitToWidth="1" horizontalDpi="300" verticalDpi="300" orientation="landscape" scale="90" r:id="rId1"/>
  <headerFooter alignWithMargins="0">
    <oddFooter>&amp;R&amp;8Dairy Management at Virginia Tech
Dr. M. L. McGilliard
[&amp;F], Rev. 10/06/06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7"/>
  <sheetViews>
    <sheetView tabSelected="1" zoomScalePageLayoutView="0" workbookViewId="0" topLeftCell="A1">
      <pane ySplit="10" topLeftCell="A11" activePane="bottomLeft" state="frozen"/>
      <selection pane="topLeft" activeCell="C1" sqref="C1"/>
      <selection pane="bottomLeft" activeCell="C3" sqref="C3"/>
    </sheetView>
  </sheetViews>
  <sheetFormatPr defaultColWidth="11.00390625" defaultRowHeight="12.75"/>
  <cols>
    <col min="1" max="1" width="10.140625" style="0" customWidth="1"/>
    <col min="2" max="2" width="6.421875" style="0" customWidth="1"/>
    <col min="3" max="6" width="11.00390625" style="0" customWidth="1"/>
    <col min="7" max="7" width="12.8515625" style="0" customWidth="1"/>
    <col min="8" max="8" width="12.8515625" style="0" hidden="1" customWidth="1"/>
    <col min="9" max="9" width="11.140625" style="0" customWidth="1"/>
    <col min="10" max="10" width="12.140625" style="0" customWidth="1"/>
    <col min="11" max="11" width="10.57421875" style="0" customWidth="1"/>
    <col min="12" max="12" width="11.421875" style="0" customWidth="1"/>
  </cols>
  <sheetData>
    <row r="1" s="19" customFormat="1" ht="18" thickBot="1">
      <c r="A1" s="18" t="s">
        <v>27</v>
      </c>
    </row>
    <row r="2" spans="11:13" ht="13.5" thickBot="1">
      <c r="K2" s="46" t="s">
        <v>1</v>
      </c>
      <c r="L2" s="47">
        <f>I4/100</f>
        <v>0.07</v>
      </c>
      <c r="M2" s="48" t="s">
        <v>2</v>
      </c>
    </row>
    <row r="3" spans="1:13" ht="12.75">
      <c r="A3" s="1" t="s">
        <v>3</v>
      </c>
      <c r="C3" s="53">
        <v>25000</v>
      </c>
      <c r="D3" s="53"/>
      <c r="F3" s="1" t="s">
        <v>4</v>
      </c>
      <c r="I3" s="12">
        <v>10</v>
      </c>
      <c r="J3" s="3">
        <f>I3/100/12</f>
        <v>0.008333333333333333</v>
      </c>
      <c r="K3" s="43" t="s">
        <v>5</v>
      </c>
      <c r="L3" s="28"/>
      <c r="M3" s="44">
        <f>MAX(L11:L370)</f>
        <v>32142.313647722407</v>
      </c>
    </row>
    <row r="4" spans="1:13" ht="12.75">
      <c r="A4" s="1" t="s">
        <v>6</v>
      </c>
      <c r="C4" s="11">
        <v>25</v>
      </c>
      <c r="D4" s="11"/>
      <c r="E4" s="3">
        <f>C4*12</f>
        <v>300</v>
      </c>
      <c r="F4" s="2" t="s">
        <v>28</v>
      </c>
      <c r="G4" s="2"/>
      <c r="H4" s="2"/>
      <c r="I4" s="13">
        <v>7</v>
      </c>
      <c r="J4" s="3">
        <f>I4/100/12</f>
        <v>0.005833333333333334</v>
      </c>
      <c r="K4" s="49" t="s">
        <v>8</v>
      </c>
      <c r="L4" s="50"/>
      <c r="M4" s="51">
        <f>C3</f>
        <v>25000</v>
      </c>
    </row>
    <row r="5" spans="1:13" ht="12.75">
      <c r="A5" s="1" t="s">
        <v>9</v>
      </c>
      <c r="C5" s="11">
        <v>1</v>
      </c>
      <c r="D5" s="11"/>
      <c r="F5" t="s">
        <v>10</v>
      </c>
      <c r="I5" s="13">
        <v>25</v>
      </c>
      <c r="J5" s="3">
        <f>I5/100</f>
        <v>0.25</v>
      </c>
      <c r="K5" s="43" t="s">
        <v>11</v>
      </c>
      <c r="L5" s="28"/>
      <c r="M5" s="44">
        <f>M3-M4</f>
        <v>7142.313647722407</v>
      </c>
    </row>
    <row r="6" spans="1:13" ht="12.75">
      <c r="A6" s="1" t="s">
        <v>12</v>
      </c>
      <c r="C6" s="11">
        <v>30</v>
      </c>
      <c r="D6" s="11"/>
      <c r="F6" s="39" t="s">
        <v>29</v>
      </c>
      <c r="G6" s="40"/>
      <c r="K6" s="43"/>
      <c r="L6" s="28"/>
      <c r="M6" s="45"/>
    </row>
    <row r="7" spans="1:13" ht="13.5" thickBot="1">
      <c r="A7" s="1" t="s">
        <v>13</v>
      </c>
      <c r="C7" s="11">
        <v>2006</v>
      </c>
      <c r="D7" s="11"/>
      <c r="E7" s="52" t="str">
        <f>IF(C7&lt;1900,"Bad Year"," ")</f>
        <v> </v>
      </c>
      <c r="F7" s="41" t="s">
        <v>30</v>
      </c>
      <c r="G7" s="42"/>
      <c r="K7" s="20" t="s">
        <v>14</v>
      </c>
      <c r="L7" s="21"/>
      <c r="M7" s="22">
        <f>MAX(M11:M370)</f>
        <v>5762.2158239162345</v>
      </c>
    </row>
    <row r="8" spans="1:7" ht="12.75">
      <c r="A8" s="1"/>
      <c r="C8" s="11"/>
      <c r="D8" s="11"/>
      <c r="E8" s="3"/>
      <c r="F8" s="54" t="s">
        <v>33</v>
      </c>
      <c r="G8" s="28"/>
    </row>
    <row r="9" spans="9:13" ht="12.75">
      <c r="I9" s="14" t="s">
        <v>15</v>
      </c>
      <c r="J9" s="27" t="s">
        <v>16</v>
      </c>
      <c r="K9" s="27"/>
      <c r="L9" s="27"/>
      <c r="M9" s="27"/>
    </row>
    <row r="10" spans="1:13" s="28" customFormat="1" ht="12.75">
      <c r="A10" s="5" t="s">
        <v>17</v>
      </c>
      <c r="B10" s="5" t="s">
        <v>31</v>
      </c>
      <c r="C10" s="6" t="s">
        <v>19</v>
      </c>
      <c r="D10" s="6" t="s">
        <v>32</v>
      </c>
      <c r="E10" s="6" t="s">
        <v>20</v>
      </c>
      <c r="F10" s="6" t="s">
        <v>21</v>
      </c>
      <c r="G10" s="6" t="s">
        <v>22</v>
      </c>
      <c r="H10" s="6"/>
      <c r="I10" s="6" t="s">
        <v>23</v>
      </c>
      <c r="J10" s="6" t="s">
        <v>20</v>
      </c>
      <c r="K10" s="6" t="s">
        <v>21</v>
      </c>
      <c r="L10" s="15" t="s">
        <v>24</v>
      </c>
      <c r="M10" s="15" t="s">
        <v>25</v>
      </c>
    </row>
    <row r="11" spans="1:13" ht="12.75">
      <c r="A11" s="7">
        <f>DATE(C7,C5,C6)</f>
        <v>38747</v>
      </c>
      <c r="B11" s="4">
        <v>1</v>
      </c>
      <c r="C11" s="29">
        <f>PMT(J3,E4,-C3)</f>
        <v>227.1751863850151</v>
      </c>
      <c r="D11" s="29"/>
      <c r="E11" s="29">
        <f>J3*C3</f>
        <v>208.33333333333334</v>
      </c>
      <c r="F11" s="29">
        <f>C11-E11+D11</f>
        <v>18.841853051681767</v>
      </c>
      <c r="G11" s="29">
        <f>C3-F11</f>
        <v>24981.158146948317</v>
      </c>
      <c r="H11" s="16">
        <f>E11*$J$5</f>
        <v>52.083333333333336</v>
      </c>
      <c r="I11" s="33">
        <f>IF(YEAR(A11)&lt;YEAR(A12),H11,"")</f>
      </c>
      <c r="J11" s="34">
        <f>E11</f>
        <v>208.33333333333334</v>
      </c>
      <c r="K11" s="34">
        <f>F11</f>
        <v>18.841853051681767</v>
      </c>
      <c r="L11" s="33">
        <f>(C11+D11)/(1+$J$4)^B11</f>
        <v>225.85768323282363</v>
      </c>
      <c r="M11" s="33">
        <f>IF(I11="",0,I11/(1+$J$4)^B11)</f>
        <v>0</v>
      </c>
    </row>
    <row r="12" spans="1:13" ht="12.75">
      <c r="A12" s="7">
        <f>IF($C$6&lt;27,DATE((YEAR(A11)-1900),MONTH(A11)+1,$C$6),DATE((YEAR(A11)-1900),MONTH(A11)+2,1)-1)</f>
        <v>38776</v>
      </c>
      <c r="B12" s="4">
        <f aca="true" t="shared" si="0" ref="B12:B27">B11+1</f>
        <v>2</v>
      </c>
      <c r="C12" s="29">
        <f aca="true" t="shared" si="1" ref="C12:C27">IF(G11&gt;0.5,C11,"")</f>
        <v>227.1751863850151</v>
      </c>
      <c r="D12" s="29"/>
      <c r="E12" s="29">
        <f aca="true" t="shared" si="2" ref="E12:E27">IF(G11&gt;0.5,$J$3*G11,"")</f>
        <v>208.17631789123598</v>
      </c>
      <c r="F12" s="29">
        <f>IF(G11&gt;0.5,C12-E12+D12,"")</f>
        <v>18.998868493779128</v>
      </c>
      <c r="G12" s="29">
        <f aca="true" t="shared" si="3" ref="G12:G27">IF(G11&gt;0.5,G11-F12,0)</f>
        <v>24962.15927845454</v>
      </c>
      <c r="H12" s="16">
        <f aca="true" t="shared" si="4" ref="H12:H43">IF(G11&gt;0.5,E12*$J$5,"")</f>
        <v>52.044079472808995</v>
      </c>
      <c r="I12" s="33">
        <f>IF(G11&lt;0.5,"",IF(OR(YEAR(A12)&lt;YEAR(A13),G12&lt;0.5),SUM($H$11:H12)-SUM($I$11:I11),""))</f>
      </c>
      <c r="J12" s="34">
        <f aca="true" t="shared" si="5" ref="J12:J27">IF(G11&gt;0.5,J11+E12,"")</f>
        <v>416.5096512245693</v>
      </c>
      <c r="K12" s="34">
        <f aca="true" t="shared" si="6" ref="K12:K27">IF(G11&gt;0.5,K11+F12,"")</f>
        <v>37.840721545460895</v>
      </c>
      <c r="L12" s="33">
        <f>IF(G11&gt;0.5,(C12+D12)/(1+$J$4)^B12+L11,"")</f>
        <v>450.40550417680737</v>
      </c>
      <c r="M12" s="33">
        <f>IF(G11&lt;0.5,"",IF(I12="",M11,I12/(1+$J$4)^B12+M11))</f>
        <v>0</v>
      </c>
    </row>
    <row r="13" spans="1:13" ht="12.75">
      <c r="A13" s="7">
        <f aca="true" t="shared" si="7" ref="A13:A76">IF($C$6&lt;27,DATE((YEAR(A12)-1900),MONTH(A12)+1,$C$6),DATE((YEAR(A12)-1900),MONTH(A12)+2,1)-1)</f>
        <v>38807</v>
      </c>
      <c r="B13" s="4">
        <f t="shared" si="0"/>
        <v>3</v>
      </c>
      <c r="C13" s="29">
        <f t="shared" si="1"/>
        <v>227.1751863850151</v>
      </c>
      <c r="D13" s="29"/>
      <c r="E13" s="29">
        <f t="shared" si="2"/>
        <v>208.01799398712114</v>
      </c>
      <c r="F13" s="29">
        <f aca="true" t="shared" si="8" ref="F13:F76">IF(G12&gt;0.5,C13-E13+D13,"")</f>
        <v>19.157192397893965</v>
      </c>
      <c r="G13" s="29">
        <f t="shared" si="3"/>
        <v>24943.002086056644</v>
      </c>
      <c r="H13" s="16">
        <f t="shared" si="4"/>
        <v>52.004498496780286</v>
      </c>
      <c r="I13" s="33">
        <f>IF(G12&lt;0.5,"",IF(OR(YEAR(A13)&lt;YEAR(A14),G13&lt;0.5),SUM($H$11:H13)-SUM($I$11:I12),""))</f>
      </c>
      <c r="J13" s="34">
        <f t="shared" si="5"/>
        <v>624.5276452116905</v>
      </c>
      <c r="K13" s="34">
        <f t="shared" si="6"/>
        <v>56.99791394335486</v>
      </c>
      <c r="L13" s="33">
        <f aca="true" t="shared" si="9" ref="L13:L76">IF(G12&gt;0.5,(C13+D13)/(1+$J$4)^B13+L12,"")</f>
        <v>673.6510593820935</v>
      </c>
      <c r="M13" s="33">
        <f aca="true" t="shared" si="10" ref="M13:M28">IF(G12&lt;0.5,"",IF(I13="",M12,I13/(1+$J$4)^B13+M12))</f>
        <v>0</v>
      </c>
    </row>
    <row r="14" spans="1:13" ht="12.75">
      <c r="A14" s="7">
        <f t="shared" si="7"/>
        <v>38837</v>
      </c>
      <c r="B14" s="4">
        <f t="shared" si="0"/>
        <v>4</v>
      </c>
      <c r="C14" s="29">
        <f t="shared" si="1"/>
        <v>227.1751863850151</v>
      </c>
      <c r="D14" s="29"/>
      <c r="E14" s="29">
        <f t="shared" si="2"/>
        <v>207.8583507171387</v>
      </c>
      <c r="F14" s="29">
        <f t="shared" si="8"/>
        <v>19.316835667876404</v>
      </c>
      <c r="G14" s="29">
        <f t="shared" si="3"/>
        <v>24923.685250388768</v>
      </c>
      <c r="H14" s="16">
        <f t="shared" si="4"/>
        <v>51.964587679284676</v>
      </c>
      <c r="I14" s="33">
        <f>IF(G13&lt;0.5,"",IF(OR(YEAR(A14)&lt;YEAR(A15),G14&lt;0.5),SUM($H$11:H14)-SUM($I$11:I13),""))</f>
      </c>
      <c r="J14" s="34">
        <f t="shared" si="5"/>
        <v>832.3859959288292</v>
      </c>
      <c r="K14" s="34">
        <f t="shared" si="6"/>
        <v>76.31474961123126</v>
      </c>
      <c r="L14" s="33">
        <f t="shared" si="9"/>
        <v>895.6019013426101</v>
      </c>
      <c r="M14" s="33">
        <f t="shared" si="10"/>
        <v>0</v>
      </c>
    </row>
    <row r="15" spans="1:13" ht="12.75">
      <c r="A15" s="7">
        <f t="shared" si="7"/>
        <v>38868</v>
      </c>
      <c r="B15" s="4">
        <f t="shared" si="0"/>
        <v>5</v>
      </c>
      <c r="C15" s="29">
        <f t="shared" si="1"/>
        <v>227.1751863850151</v>
      </c>
      <c r="D15" s="29"/>
      <c r="E15" s="29">
        <f t="shared" si="2"/>
        <v>207.69737708657306</v>
      </c>
      <c r="F15" s="29">
        <f t="shared" si="8"/>
        <v>19.477809298442054</v>
      </c>
      <c r="G15" s="29">
        <f t="shared" si="3"/>
        <v>24904.207441090326</v>
      </c>
      <c r="H15" s="16">
        <f t="shared" si="4"/>
        <v>51.924344271643264</v>
      </c>
      <c r="I15" s="33">
        <f>IF(G14&lt;0.5,"",IF(OR(YEAR(A15)&lt;YEAR(A16),G15&lt;0.5),SUM($H$11:H15)-SUM($I$11:I14),""))</f>
      </c>
      <c r="J15" s="34">
        <f t="shared" si="5"/>
        <v>1040.0833730154022</v>
      </c>
      <c r="K15" s="34">
        <f t="shared" si="6"/>
        <v>95.79255890967332</v>
      </c>
      <c r="L15" s="33">
        <f t="shared" si="9"/>
        <v>1116.2655387515742</v>
      </c>
      <c r="M15" s="33">
        <f t="shared" si="10"/>
        <v>0</v>
      </c>
    </row>
    <row r="16" spans="1:13" ht="12.75">
      <c r="A16" s="7">
        <f t="shared" si="7"/>
        <v>38898</v>
      </c>
      <c r="B16" s="4">
        <f t="shared" si="0"/>
        <v>6</v>
      </c>
      <c r="C16" s="29">
        <f t="shared" si="1"/>
        <v>227.1751863850151</v>
      </c>
      <c r="D16" s="29"/>
      <c r="E16" s="29">
        <f t="shared" si="2"/>
        <v>207.53506200908603</v>
      </c>
      <c r="F16" s="29">
        <f t="shared" si="8"/>
        <v>19.640124375929076</v>
      </c>
      <c r="G16" s="29">
        <f t="shared" si="3"/>
        <v>24884.567316714398</v>
      </c>
      <c r="H16" s="16">
        <f t="shared" si="4"/>
        <v>51.88376550227151</v>
      </c>
      <c r="I16" s="33">
        <f>IF(G15&lt;0.5,"",IF(OR(YEAR(A16)&lt;YEAR(A17),G16&lt;0.5),SUM($H$11:H16)-SUM($I$11:I15),""))</f>
      </c>
      <c r="J16" s="34">
        <f t="shared" si="5"/>
        <v>1247.6184350244882</v>
      </c>
      <c r="K16" s="34">
        <f t="shared" si="6"/>
        <v>115.4326832856024</v>
      </c>
      <c r="L16" s="33">
        <f t="shared" si="9"/>
        <v>1335.6494367555156</v>
      </c>
      <c r="M16" s="33">
        <f t="shared" si="10"/>
        <v>0</v>
      </c>
    </row>
    <row r="17" spans="1:13" ht="12.75">
      <c r="A17" s="7">
        <f t="shared" si="7"/>
        <v>38929</v>
      </c>
      <c r="B17" s="4">
        <f t="shared" si="0"/>
        <v>7</v>
      </c>
      <c r="C17" s="29">
        <f t="shared" si="1"/>
        <v>227.1751863850151</v>
      </c>
      <c r="D17" s="29"/>
      <c r="E17" s="29">
        <f t="shared" si="2"/>
        <v>207.37139430595332</v>
      </c>
      <c r="F17" s="29">
        <f t="shared" si="8"/>
        <v>19.803792079061793</v>
      </c>
      <c r="G17" s="29">
        <f t="shared" si="3"/>
        <v>24864.763524635335</v>
      </c>
      <c r="H17" s="16">
        <f t="shared" si="4"/>
        <v>51.84284857648833</v>
      </c>
      <c r="I17" s="33">
        <f>IF(G16&lt;0.5,"",IF(OR(YEAR(A17)&lt;YEAR(A18),G17&lt;0.5),SUM($H$11:H17)-SUM($I$11:I16),""))</f>
      </c>
      <c r="J17" s="34">
        <f t="shared" si="5"/>
        <v>1454.9898293304416</v>
      </c>
      <c r="K17" s="34">
        <f t="shared" si="6"/>
        <v>135.2364753646642</v>
      </c>
      <c r="L17" s="33">
        <f t="shared" si="9"/>
        <v>1553.7610172068241</v>
      </c>
      <c r="M17" s="33">
        <f t="shared" si="10"/>
        <v>0</v>
      </c>
    </row>
    <row r="18" spans="1:13" ht="12.75">
      <c r="A18" s="7">
        <f t="shared" si="7"/>
        <v>38960</v>
      </c>
      <c r="B18" s="4">
        <f t="shared" si="0"/>
        <v>8</v>
      </c>
      <c r="C18" s="29">
        <f t="shared" si="1"/>
        <v>227.1751863850151</v>
      </c>
      <c r="D18" s="29"/>
      <c r="E18" s="29">
        <f t="shared" si="2"/>
        <v>207.20636270529445</v>
      </c>
      <c r="F18" s="29">
        <f t="shared" si="8"/>
        <v>19.968823679720657</v>
      </c>
      <c r="G18" s="29">
        <f t="shared" si="3"/>
        <v>24844.794700955616</v>
      </c>
      <c r="H18" s="16">
        <f t="shared" si="4"/>
        <v>51.80159067632361</v>
      </c>
      <c r="I18" s="33">
        <f>IF(G17&lt;0.5,"",IF(OR(YEAR(A18)&lt;YEAR(A19),G18&lt;0.5),SUM($H$11:H18)-SUM($I$11:I17),""))</f>
      </c>
      <c r="J18" s="34">
        <f t="shared" si="5"/>
        <v>1662.196192035736</v>
      </c>
      <c r="K18" s="34">
        <f t="shared" si="6"/>
        <v>155.20529904438484</v>
      </c>
      <c r="L18" s="33">
        <f t="shared" si="9"/>
        <v>1770.607658914836</v>
      </c>
      <c r="M18" s="33">
        <f t="shared" si="10"/>
        <v>0</v>
      </c>
    </row>
    <row r="19" spans="1:13" ht="12.75">
      <c r="A19" s="7">
        <f t="shared" si="7"/>
        <v>38990</v>
      </c>
      <c r="B19" s="4">
        <f t="shared" si="0"/>
        <v>9</v>
      </c>
      <c r="C19" s="29">
        <f t="shared" si="1"/>
        <v>227.1751863850151</v>
      </c>
      <c r="D19" s="29"/>
      <c r="E19" s="29">
        <f t="shared" si="2"/>
        <v>207.0399558412968</v>
      </c>
      <c r="F19" s="29">
        <f t="shared" si="8"/>
        <v>20.135230543718308</v>
      </c>
      <c r="G19" s="29">
        <f t="shared" si="3"/>
        <v>24824.659470411898</v>
      </c>
      <c r="H19" s="16">
        <f t="shared" si="4"/>
        <v>51.7599889603242</v>
      </c>
      <c r="I19" s="33">
        <f>IF(G18&lt;0.5,"",IF(OR(YEAR(A19)&lt;YEAR(A20),G19&lt;0.5),SUM($H$11:H19)-SUM($I$11:I18),""))</f>
      </c>
      <c r="J19" s="34">
        <f t="shared" si="5"/>
        <v>1869.2361478770329</v>
      </c>
      <c r="K19" s="34">
        <f t="shared" si="6"/>
        <v>175.34052958810315</v>
      </c>
      <c r="L19" s="33">
        <f t="shared" si="9"/>
        <v>1986.196697895461</v>
      </c>
      <c r="M19" s="33">
        <f t="shared" si="10"/>
        <v>0</v>
      </c>
    </row>
    <row r="20" spans="1:13" ht="12.75">
      <c r="A20" s="7">
        <f t="shared" si="7"/>
        <v>39021</v>
      </c>
      <c r="B20" s="4">
        <f t="shared" si="0"/>
        <v>10</v>
      </c>
      <c r="C20" s="29">
        <f t="shared" si="1"/>
        <v>227.1751863850151</v>
      </c>
      <c r="D20" s="29"/>
      <c r="E20" s="29">
        <f t="shared" si="2"/>
        <v>206.8721622534325</v>
      </c>
      <c r="F20" s="29">
        <f t="shared" si="8"/>
        <v>20.303024131582617</v>
      </c>
      <c r="G20" s="29">
        <f t="shared" si="3"/>
        <v>24804.356446280315</v>
      </c>
      <c r="H20" s="16">
        <f t="shared" si="4"/>
        <v>51.71804056335812</v>
      </c>
      <c r="I20" s="33">
        <f>IF(G19&lt;0.5,"",IF(OR(YEAR(A20)&lt;YEAR(A21),G20&lt;0.5),SUM($H$11:H20)-SUM($I$11:I19),""))</f>
      </c>
      <c r="J20" s="34">
        <f t="shared" si="5"/>
        <v>2076.1083101304653</v>
      </c>
      <c r="K20" s="34">
        <f t="shared" si="6"/>
        <v>195.64355371968577</v>
      </c>
      <c r="L20" s="33">
        <f t="shared" si="9"/>
        <v>2200.535427619363</v>
      </c>
      <c r="M20" s="33">
        <f t="shared" si="10"/>
        <v>0</v>
      </c>
    </row>
    <row r="21" spans="1:13" ht="12.75">
      <c r="A21" s="7">
        <f t="shared" si="7"/>
        <v>39051</v>
      </c>
      <c r="B21" s="4">
        <f t="shared" si="0"/>
        <v>11</v>
      </c>
      <c r="C21" s="29">
        <f t="shared" si="1"/>
        <v>227.1751863850151</v>
      </c>
      <c r="D21" s="29"/>
      <c r="E21" s="29">
        <f t="shared" si="2"/>
        <v>206.7029703856693</v>
      </c>
      <c r="F21" s="29">
        <f t="shared" si="8"/>
        <v>20.47221599934582</v>
      </c>
      <c r="G21" s="29">
        <f t="shared" si="3"/>
        <v>24783.884230280968</v>
      </c>
      <c r="H21" s="16">
        <f t="shared" si="4"/>
        <v>51.67574259641732</v>
      </c>
      <c r="I21" s="33">
        <f>IF(G20&lt;0.5,"",IF(OR(YEAR(A21)&lt;YEAR(A22),G21&lt;0.5),SUM($H$11:H21)-SUM($I$11:I20),""))</f>
      </c>
      <c r="J21" s="34">
        <f t="shared" si="5"/>
        <v>2282.8112805161345</v>
      </c>
      <c r="K21" s="34">
        <f t="shared" si="6"/>
        <v>216.1157697190316</v>
      </c>
      <c r="L21" s="33">
        <f t="shared" si="9"/>
        <v>2413.6310992587023</v>
      </c>
      <c r="M21" s="33">
        <f t="shared" si="10"/>
        <v>0</v>
      </c>
    </row>
    <row r="22" spans="1:13" ht="12.75">
      <c r="A22" s="7">
        <f t="shared" si="7"/>
        <v>39082</v>
      </c>
      <c r="B22" s="4">
        <f t="shared" si="0"/>
        <v>12</v>
      </c>
      <c r="C22" s="29">
        <f t="shared" si="1"/>
        <v>227.1751863850151</v>
      </c>
      <c r="D22" s="29"/>
      <c r="E22" s="29">
        <f t="shared" si="2"/>
        <v>206.53236858567473</v>
      </c>
      <c r="F22" s="29">
        <f t="shared" si="8"/>
        <v>20.642817799340378</v>
      </c>
      <c r="G22" s="29">
        <f t="shared" si="3"/>
        <v>24763.241412481628</v>
      </c>
      <c r="H22" s="16">
        <f t="shared" si="4"/>
        <v>51.63309214641868</v>
      </c>
      <c r="I22" s="33">
        <f>IF(G21&lt;0.5,"",IF(OR(YEAR(A22)&lt;YEAR(A23),G22&lt;0.5),SUM($H$11:H22)-SUM($I$11:I21),""))</f>
        <v>622.3359122754523</v>
      </c>
      <c r="J22" s="34">
        <f t="shared" si="5"/>
        <v>2489.343649101809</v>
      </c>
      <c r="K22" s="34">
        <f t="shared" si="6"/>
        <v>236.75858751837197</v>
      </c>
      <c r="L22" s="33">
        <f t="shared" si="9"/>
        <v>2625.490921932445</v>
      </c>
      <c r="M22" s="33">
        <f t="shared" si="10"/>
        <v>580.3801819919008</v>
      </c>
    </row>
    <row r="23" spans="1:13" ht="12.75">
      <c r="A23" s="7">
        <f t="shared" si="7"/>
        <v>39113</v>
      </c>
      <c r="B23" s="4">
        <f t="shared" si="0"/>
        <v>13</v>
      </c>
      <c r="C23" s="29">
        <f t="shared" si="1"/>
        <v>227.1751863850151</v>
      </c>
      <c r="D23" s="29"/>
      <c r="E23" s="29">
        <f t="shared" si="2"/>
        <v>206.36034510401356</v>
      </c>
      <c r="F23" s="29">
        <f t="shared" si="8"/>
        <v>20.81484128100155</v>
      </c>
      <c r="G23" s="29">
        <f t="shared" si="3"/>
        <v>24742.426571200627</v>
      </c>
      <c r="H23" s="16">
        <f t="shared" si="4"/>
        <v>51.59008627600339</v>
      </c>
      <c r="I23" s="33">
        <f>IF(G22&lt;0.5,"",IF(OR(YEAR(A23)&lt;YEAR(A24),G23&lt;0.5),SUM($H$11:H23)-SUM($I$11:I22),""))</f>
      </c>
      <c r="J23" s="34">
        <f t="shared" si="5"/>
        <v>2695.7039942058227</v>
      </c>
      <c r="K23" s="34">
        <f t="shared" si="6"/>
        <v>257.5734287993735</v>
      </c>
      <c r="L23" s="33">
        <f t="shared" si="9"/>
        <v>2836.12206295025</v>
      </c>
      <c r="M23" s="33">
        <f t="shared" si="10"/>
        <v>580.3801819919008</v>
      </c>
    </row>
    <row r="24" spans="1:13" ht="12.75">
      <c r="A24" s="7">
        <f t="shared" si="7"/>
        <v>39141</v>
      </c>
      <c r="B24" s="4">
        <f t="shared" si="0"/>
        <v>14</v>
      </c>
      <c r="C24" s="29">
        <f t="shared" si="1"/>
        <v>227.1751863850151</v>
      </c>
      <c r="D24" s="29"/>
      <c r="E24" s="29">
        <f t="shared" si="2"/>
        <v>206.18688809333855</v>
      </c>
      <c r="F24" s="29">
        <f t="shared" si="8"/>
        <v>20.988298291676557</v>
      </c>
      <c r="G24" s="29">
        <f t="shared" si="3"/>
        <v>24721.438272908952</v>
      </c>
      <c r="H24" s="16">
        <f t="shared" si="4"/>
        <v>51.54672202333464</v>
      </c>
      <c r="I24" s="33">
        <f>IF(G23&lt;0.5,"",IF(OR(YEAR(A24)&lt;YEAR(A25),G24&lt;0.5),SUM($H$11:H24)-SUM($I$11:I23),""))</f>
      </c>
      <c r="J24" s="34">
        <f t="shared" si="5"/>
        <v>2901.890882299161</v>
      </c>
      <c r="K24" s="34">
        <f t="shared" si="6"/>
        <v>278.5617270910501</v>
      </c>
      <c r="L24" s="33">
        <f t="shared" si="9"/>
        <v>3045.5316480549445</v>
      </c>
      <c r="M24" s="33">
        <f t="shared" si="10"/>
        <v>580.3801819919008</v>
      </c>
    </row>
    <row r="25" spans="1:13" ht="12.75">
      <c r="A25" s="7">
        <f t="shared" si="7"/>
        <v>39172</v>
      </c>
      <c r="B25" s="4">
        <f t="shared" si="0"/>
        <v>15</v>
      </c>
      <c r="C25" s="29">
        <f t="shared" si="1"/>
        <v>227.1751863850151</v>
      </c>
      <c r="D25" s="29"/>
      <c r="E25" s="29">
        <f t="shared" si="2"/>
        <v>206.0119856075746</v>
      </c>
      <c r="F25" s="29">
        <f t="shared" si="8"/>
        <v>21.163200777440522</v>
      </c>
      <c r="G25" s="29">
        <f t="shared" si="3"/>
        <v>24700.275072131513</v>
      </c>
      <c r="H25" s="16">
        <f t="shared" si="4"/>
        <v>51.50299640189365</v>
      </c>
      <c r="I25" s="33">
        <f>IF(G24&lt;0.5,"",IF(OR(YEAR(A25)&lt;YEAR(A26),G25&lt;0.5),SUM($H$11:H25)-SUM($I$11:I24),""))</f>
      </c>
      <c r="J25" s="34">
        <f t="shared" si="5"/>
        <v>3107.9028679067355</v>
      </c>
      <c r="K25" s="34">
        <f t="shared" si="6"/>
        <v>299.7249278684906</v>
      </c>
      <c r="L25" s="33">
        <f t="shared" si="9"/>
        <v>3253.7267616635886</v>
      </c>
      <c r="M25" s="33">
        <f t="shared" si="10"/>
        <v>580.3801819919008</v>
      </c>
    </row>
    <row r="26" spans="1:13" ht="12.75">
      <c r="A26" s="7">
        <f t="shared" si="7"/>
        <v>39202</v>
      </c>
      <c r="B26" s="4">
        <f t="shared" si="0"/>
        <v>16</v>
      </c>
      <c r="C26" s="29">
        <f t="shared" si="1"/>
        <v>227.1751863850151</v>
      </c>
      <c r="D26" s="29"/>
      <c r="E26" s="29">
        <f t="shared" si="2"/>
        <v>205.83562560109593</v>
      </c>
      <c r="F26" s="29">
        <f t="shared" si="8"/>
        <v>21.339560783919183</v>
      </c>
      <c r="G26" s="29">
        <f t="shared" si="3"/>
        <v>24678.935511347594</v>
      </c>
      <c r="H26" s="16">
        <f t="shared" si="4"/>
        <v>51.45890640027398</v>
      </c>
      <c r="I26" s="33">
        <f>IF(G25&lt;0.5,"",IF(OR(YEAR(A26)&lt;YEAR(A27),G26&lt;0.5),SUM($H$11:H26)-SUM($I$11:I25),""))</f>
      </c>
      <c r="J26" s="34">
        <f t="shared" si="5"/>
        <v>3313.7384935078317</v>
      </c>
      <c r="K26" s="34">
        <f t="shared" si="6"/>
        <v>321.0644886524098</v>
      </c>
      <c r="L26" s="33">
        <f t="shared" si="9"/>
        <v>3460.714447107145</v>
      </c>
      <c r="M26" s="33">
        <f t="shared" si="10"/>
        <v>580.3801819919008</v>
      </c>
    </row>
    <row r="27" spans="1:13" ht="12.75">
      <c r="A27" s="7">
        <f t="shared" si="7"/>
        <v>39233</v>
      </c>
      <c r="B27" s="4">
        <f t="shared" si="0"/>
        <v>17</v>
      </c>
      <c r="C27" s="29">
        <f t="shared" si="1"/>
        <v>227.1751863850151</v>
      </c>
      <c r="D27" s="29"/>
      <c r="E27" s="29">
        <f t="shared" si="2"/>
        <v>205.65779592789661</v>
      </c>
      <c r="F27" s="29">
        <f t="shared" si="8"/>
        <v>21.517390457118495</v>
      </c>
      <c r="G27" s="29">
        <f t="shared" si="3"/>
        <v>24657.418120890474</v>
      </c>
      <c r="H27" s="16">
        <f t="shared" si="4"/>
        <v>51.414448981974154</v>
      </c>
      <c r="I27" s="33">
        <f>IF(G26&lt;0.5,"",IF(OR(YEAR(A27)&lt;YEAR(A28),G27&lt;0.5),SUM($H$11:H27)-SUM($I$11:I26),""))</f>
      </c>
      <c r="J27" s="34">
        <f t="shared" si="5"/>
        <v>3519.3962894357282</v>
      </c>
      <c r="K27" s="34">
        <f t="shared" si="6"/>
        <v>342.5818791095283</v>
      </c>
      <c r="L27" s="33">
        <f t="shared" si="9"/>
        <v>3666.501706868759</v>
      </c>
      <c r="M27" s="33">
        <f t="shared" si="10"/>
        <v>580.3801819919008</v>
      </c>
    </row>
    <row r="28" spans="1:13" ht="12.75">
      <c r="A28" s="7">
        <f t="shared" si="7"/>
        <v>39263</v>
      </c>
      <c r="B28" s="4">
        <f aca="true" t="shared" si="11" ref="B28:B43">B27+1</f>
        <v>18</v>
      </c>
      <c r="C28" s="29">
        <f aca="true" t="shared" si="12" ref="C28:C43">IF(G27&gt;0.5,C27,"")</f>
        <v>227.1751863850151</v>
      </c>
      <c r="D28" s="29"/>
      <c r="E28" s="29">
        <f aca="true" t="shared" si="13" ref="E28:E43">IF(G27&gt;0.5,$J$3*G27,"")</f>
        <v>205.47848434075394</v>
      </c>
      <c r="F28" s="29">
        <f t="shared" si="8"/>
        <v>21.696702044261173</v>
      </c>
      <c r="G28" s="29">
        <f aca="true" t="shared" si="14" ref="G28:G43">IF(G27&gt;0.5,G27-F28,0)</f>
        <v>24635.721418846213</v>
      </c>
      <c r="H28" s="16">
        <f t="shared" si="4"/>
        <v>51.369621085188484</v>
      </c>
      <c r="I28" s="33">
        <f>IF(G27&lt;0.5,"",IF(OR(YEAR(A28)&lt;YEAR(A29),G28&lt;0.5),SUM($H$11:H28)-SUM($I$11:I27),""))</f>
      </c>
      <c r="J28" s="34">
        <f aca="true" t="shared" si="15" ref="J28:J43">IF(G27&gt;0.5,J27+E28,"")</f>
        <v>3724.874773776482</v>
      </c>
      <c r="K28" s="34">
        <f aca="true" t="shared" si="16" ref="K28:K43">IF(G27&gt;0.5,K27+F28,"")</f>
        <v>364.27858115378945</v>
      </c>
      <c r="L28" s="33">
        <f t="shared" si="9"/>
        <v>3871.0955028206536</v>
      </c>
      <c r="M28" s="33">
        <f t="shared" si="10"/>
        <v>580.3801819919008</v>
      </c>
    </row>
    <row r="29" spans="1:13" ht="12.75">
      <c r="A29" s="7">
        <f t="shared" si="7"/>
        <v>39294</v>
      </c>
      <c r="B29" s="4">
        <f t="shared" si="11"/>
        <v>19</v>
      </c>
      <c r="C29" s="29">
        <f t="shared" si="12"/>
        <v>227.1751863850151</v>
      </c>
      <c r="D29" s="29"/>
      <c r="E29" s="29">
        <f t="shared" si="13"/>
        <v>205.2976784903851</v>
      </c>
      <c r="F29" s="29">
        <f t="shared" si="8"/>
        <v>21.877507894630014</v>
      </c>
      <c r="G29" s="29">
        <f t="shared" si="14"/>
        <v>24613.843910951582</v>
      </c>
      <c r="H29" s="16">
        <f t="shared" si="4"/>
        <v>51.324419622596274</v>
      </c>
      <c r="I29" s="33">
        <f>IF(G28&lt;0.5,"",IF(OR(YEAR(A29)&lt;YEAR(A30),G29&lt;0.5),SUM($H$11:H29)-SUM($I$11:I28),""))</f>
      </c>
      <c r="J29" s="34">
        <f t="shared" si="15"/>
        <v>3930.172452266867</v>
      </c>
      <c r="K29" s="34">
        <f t="shared" si="16"/>
        <v>386.15608904841946</v>
      </c>
      <c r="L29" s="33">
        <f t="shared" si="9"/>
        <v>4074.502756459654</v>
      </c>
      <c r="M29" s="33">
        <f aca="true" t="shared" si="17" ref="M29:M44">IF(G28&lt;0.5,"",IF(I29="",M28,I29/(1+$J$4)^B29+M28))</f>
        <v>580.3801819919008</v>
      </c>
    </row>
    <row r="30" spans="1:13" ht="12.75">
      <c r="A30" s="7">
        <f t="shared" si="7"/>
        <v>39325</v>
      </c>
      <c r="B30" s="4">
        <f t="shared" si="11"/>
        <v>20</v>
      </c>
      <c r="C30" s="29">
        <f t="shared" si="12"/>
        <v>227.1751863850151</v>
      </c>
      <c r="D30" s="29"/>
      <c r="E30" s="29">
        <f t="shared" si="13"/>
        <v>205.11536592459652</v>
      </c>
      <c r="F30" s="29">
        <f t="shared" si="8"/>
        <v>22.059820460418592</v>
      </c>
      <c r="G30" s="29">
        <f t="shared" si="14"/>
        <v>24591.784090491165</v>
      </c>
      <c r="H30" s="16">
        <f t="shared" si="4"/>
        <v>51.27884148114913</v>
      </c>
      <c r="I30" s="33">
        <f>IF(G29&lt;0.5,"",IF(OR(YEAR(A30)&lt;YEAR(A31),G30&lt;0.5),SUM($H$11:H30)-SUM($I$11:I29),""))</f>
      </c>
      <c r="J30" s="34">
        <f t="shared" si="15"/>
        <v>4135.287818191464</v>
      </c>
      <c r="K30" s="34">
        <f t="shared" si="16"/>
        <v>408.2159095088381</v>
      </c>
      <c r="L30" s="33">
        <f t="shared" si="9"/>
        <v>4276.730349141344</v>
      </c>
      <c r="M30" s="33">
        <f t="shared" si="17"/>
        <v>580.3801819919008</v>
      </c>
    </row>
    <row r="31" spans="1:13" ht="12.75">
      <c r="A31" s="7">
        <f t="shared" si="7"/>
        <v>39355</v>
      </c>
      <c r="B31" s="4">
        <f t="shared" si="11"/>
        <v>21</v>
      </c>
      <c r="C31" s="29">
        <f t="shared" si="12"/>
        <v>227.1751863850151</v>
      </c>
      <c r="D31" s="29"/>
      <c r="E31" s="29">
        <f t="shared" si="13"/>
        <v>204.93153408742637</v>
      </c>
      <c r="F31" s="29">
        <f t="shared" si="8"/>
        <v>22.24365229758874</v>
      </c>
      <c r="G31" s="29">
        <f t="shared" si="14"/>
        <v>24569.540438193577</v>
      </c>
      <c r="H31" s="16">
        <f t="shared" si="4"/>
        <v>51.23288352185659</v>
      </c>
      <c r="I31" s="33">
        <f>IF(G30&lt;0.5,"",IF(OR(YEAR(A31)&lt;YEAR(A32),G31&lt;0.5),SUM($H$11:H31)-SUM($I$11:I30),""))</f>
      </c>
      <c r="J31" s="34">
        <f t="shared" si="15"/>
        <v>4340.21935227889</v>
      </c>
      <c r="K31" s="34">
        <f t="shared" si="16"/>
        <v>430.4595618064268</v>
      </c>
      <c r="L31" s="33">
        <f t="shared" si="9"/>
        <v>4477.785122312867</v>
      </c>
      <c r="M31" s="33">
        <f t="shared" si="17"/>
        <v>580.3801819919008</v>
      </c>
    </row>
    <row r="32" spans="1:13" ht="12.75">
      <c r="A32" s="7">
        <f t="shared" si="7"/>
        <v>39386</v>
      </c>
      <c r="B32" s="4">
        <f t="shared" si="11"/>
        <v>22</v>
      </c>
      <c r="C32" s="29">
        <f t="shared" si="12"/>
        <v>227.1751863850151</v>
      </c>
      <c r="D32" s="29"/>
      <c r="E32" s="29">
        <f t="shared" si="13"/>
        <v>204.7461703182798</v>
      </c>
      <c r="F32" s="29">
        <f t="shared" si="8"/>
        <v>22.4290160667353</v>
      </c>
      <c r="G32" s="29">
        <f t="shared" si="14"/>
        <v>24547.11142212684</v>
      </c>
      <c r="H32" s="16">
        <f t="shared" si="4"/>
        <v>51.18654257956995</v>
      </c>
      <c r="I32" s="33">
        <f>IF(G31&lt;0.5,"",IF(OR(YEAR(A32)&lt;YEAR(A33),G32&lt;0.5),SUM($H$11:H32)-SUM($I$11:I31),""))</f>
      </c>
      <c r="J32" s="34">
        <f t="shared" si="15"/>
        <v>4544.96552259717</v>
      </c>
      <c r="K32" s="34">
        <f t="shared" si="16"/>
        <v>452.8885778731621</v>
      </c>
      <c r="L32" s="33">
        <f t="shared" si="9"/>
        <v>4677.673877744373</v>
      </c>
      <c r="M32" s="33">
        <f t="shared" si="17"/>
        <v>580.3801819919008</v>
      </c>
    </row>
    <row r="33" spans="1:13" ht="12.75">
      <c r="A33" s="7">
        <f t="shared" si="7"/>
        <v>39416</v>
      </c>
      <c r="B33" s="4">
        <f t="shared" si="11"/>
        <v>23</v>
      </c>
      <c r="C33" s="29">
        <f t="shared" si="12"/>
        <v>227.1751863850151</v>
      </c>
      <c r="D33" s="29"/>
      <c r="E33" s="29">
        <f t="shared" si="13"/>
        <v>204.559261851057</v>
      </c>
      <c r="F33" s="29">
        <f t="shared" si="8"/>
        <v>22.615924533958122</v>
      </c>
      <c r="G33" s="29">
        <f t="shared" si="14"/>
        <v>24524.49549759288</v>
      </c>
      <c r="H33" s="16">
        <f t="shared" si="4"/>
        <v>51.13981546276425</v>
      </c>
      <c r="I33" s="33">
        <f>IF(G32&lt;0.5,"",IF(OR(YEAR(A33)&lt;YEAR(A34),G33&lt;0.5),SUM($H$11:H33)-SUM($I$11:I32),""))</f>
      </c>
      <c r="J33" s="34">
        <f t="shared" si="15"/>
        <v>4749.524784448227</v>
      </c>
      <c r="K33" s="34">
        <f t="shared" si="16"/>
        <v>475.5045024071202</v>
      </c>
      <c r="L33" s="33">
        <f t="shared" si="9"/>
        <v>4876.403377759127</v>
      </c>
      <c r="M33" s="33">
        <f t="shared" si="17"/>
        <v>580.3801819919008</v>
      </c>
    </row>
    <row r="34" spans="1:13" ht="12.75">
      <c r="A34" s="7">
        <f t="shared" si="7"/>
        <v>39447</v>
      </c>
      <c r="B34" s="4">
        <f t="shared" si="11"/>
        <v>24</v>
      </c>
      <c r="C34" s="29">
        <f t="shared" si="12"/>
        <v>227.1751863850151</v>
      </c>
      <c r="D34" s="29"/>
      <c r="E34" s="29">
        <f t="shared" si="13"/>
        <v>204.37079581327401</v>
      </c>
      <c r="F34" s="29">
        <f t="shared" si="8"/>
        <v>22.804390571741095</v>
      </c>
      <c r="G34" s="29">
        <f t="shared" si="14"/>
        <v>24501.69110702114</v>
      </c>
      <c r="H34" s="16">
        <f t="shared" si="4"/>
        <v>51.092698953318504</v>
      </c>
      <c r="I34" s="33">
        <f>IF(G33&lt;0.5,"",IF(OR(YEAR(A34)&lt;YEAR(A35),G34&lt;0.5),SUM($H$11:H34)-SUM($I$11:I33),""))</f>
        <v>616.137982789923</v>
      </c>
      <c r="J34" s="34">
        <f t="shared" si="15"/>
        <v>4953.895580261501</v>
      </c>
      <c r="K34" s="34">
        <f t="shared" si="16"/>
        <v>498.3088929788613</v>
      </c>
      <c r="L34" s="33">
        <f t="shared" si="9"/>
        <v>5073.980345462279</v>
      </c>
      <c r="M34" s="33">
        <f t="shared" si="17"/>
        <v>1116.2427304660746</v>
      </c>
    </row>
    <row r="35" spans="1:13" ht="12.75">
      <c r="A35" s="7">
        <f t="shared" si="7"/>
        <v>39478</v>
      </c>
      <c r="B35" s="4">
        <f t="shared" si="11"/>
        <v>25</v>
      </c>
      <c r="C35" s="29">
        <f t="shared" si="12"/>
        <v>227.1751863850151</v>
      </c>
      <c r="D35" s="29"/>
      <c r="E35" s="29">
        <f t="shared" si="13"/>
        <v>204.18075922517616</v>
      </c>
      <c r="F35" s="29">
        <f t="shared" si="8"/>
        <v>22.99442715983895</v>
      </c>
      <c r="G35" s="29">
        <f t="shared" si="14"/>
        <v>24478.6966798613</v>
      </c>
      <c r="H35" s="16">
        <f t="shared" si="4"/>
        <v>51.04518980629404</v>
      </c>
      <c r="I35" s="33">
        <f>IF(G34&lt;0.5,"",IF(OR(YEAR(A35)&lt;YEAR(A36),G35&lt;0.5),SUM($H$11:H35)-SUM($I$11:I34),""))</f>
      </c>
      <c r="J35" s="34">
        <f t="shared" si="15"/>
        <v>5158.076339486677</v>
      </c>
      <c r="K35" s="34">
        <f t="shared" si="16"/>
        <v>521.3033201387002</v>
      </c>
      <c r="L35" s="33">
        <f t="shared" si="9"/>
        <v>5270.411464968312</v>
      </c>
      <c r="M35" s="33">
        <f t="shared" si="17"/>
        <v>1116.2427304660746</v>
      </c>
    </row>
    <row r="36" spans="1:13" ht="12.75">
      <c r="A36" s="7">
        <f t="shared" si="7"/>
        <v>39507</v>
      </c>
      <c r="B36" s="4">
        <f t="shared" si="11"/>
        <v>26</v>
      </c>
      <c r="C36" s="29">
        <f t="shared" si="12"/>
        <v>227.1751863850151</v>
      </c>
      <c r="D36" s="29"/>
      <c r="E36" s="29">
        <f t="shared" si="13"/>
        <v>203.98913899884417</v>
      </c>
      <c r="F36" s="29">
        <f t="shared" si="8"/>
        <v>23.18604738617094</v>
      </c>
      <c r="G36" s="29">
        <f t="shared" si="14"/>
        <v>24455.51063247513</v>
      </c>
      <c r="H36" s="16">
        <f t="shared" si="4"/>
        <v>50.99728474971104</v>
      </c>
      <c r="I36" s="33">
        <f>IF(G35&lt;0.5,"",IF(OR(YEAR(A36)&lt;YEAR(A37),G36&lt;0.5),SUM($H$11:H36)-SUM($I$11:I35),""))</f>
      </c>
      <c r="J36" s="34">
        <f t="shared" si="15"/>
        <v>5362.065478485521</v>
      </c>
      <c r="K36" s="34">
        <f t="shared" si="16"/>
        <v>544.4893675248711</v>
      </c>
      <c r="L36" s="33">
        <f t="shared" si="9"/>
        <v>5465.703381627169</v>
      </c>
      <c r="M36" s="33">
        <f t="shared" si="17"/>
        <v>1116.2427304660746</v>
      </c>
    </row>
    <row r="37" spans="1:13" ht="12.75">
      <c r="A37" s="7">
        <f t="shared" si="7"/>
        <v>39538</v>
      </c>
      <c r="B37" s="4">
        <f t="shared" si="11"/>
        <v>27</v>
      </c>
      <c r="C37" s="29">
        <f t="shared" si="12"/>
        <v>227.1751863850151</v>
      </c>
      <c r="D37" s="29"/>
      <c r="E37" s="29">
        <f t="shared" si="13"/>
        <v>203.79592193729275</v>
      </c>
      <c r="F37" s="29">
        <f t="shared" si="8"/>
        <v>23.379264447722363</v>
      </c>
      <c r="G37" s="29">
        <f t="shared" si="14"/>
        <v>24432.131368027407</v>
      </c>
      <c r="H37" s="16">
        <f t="shared" si="4"/>
        <v>50.94898048432319</v>
      </c>
      <c r="I37" s="33">
        <f>IF(G36&lt;0.5,"",IF(OR(YEAR(A37)&lt;YEAR(A38),G37&lt;0.5),SUM($H$11:H37)-SUM($I$11:I36),""))</f>
      </c>
      <c r="J37" s="34">
        <f t="shared" si="15"/>
        <v>5565.861400422814</v>
      </c>
      <c r="K37" s="34">
        <f t="shared" si="16"/>
        <v>567.8686319725934</v>
      </c>
      <c r="L37" s="33">
        <f t="shared" si="9"/>
        <v>5659.862702249065</v>
      </c>
      <c r="M37" s="33">
        <f t="shared" si="17"/>
        <v>1116.2427304660746</v>
      </c>
    </row>
    <row r="38" spans="1:13" ht="12.75">
      <c r="A38" s="7">
        <f t="shared" si="7"/>
        <v>39568</v>
      </c>
      <c r="B38" s="4">
        <f t="shared" si="11"/>
        <v>28</v>
      </c>
      <c r="C38" s="29">
        <f t="shared" si="12"/>
        <v>227.1751863850151</v>
      </c>
      <c r="D38" s="29"/>
      <c r="E38" s="29">
        <f t="shared" si="13"/>
        <v>203.60109473356172</v>
      </c>
      <c r="F38" s="29">
        <f t="shared" si="8"/>
        <v>23.574091651453386</v>
      </c>
      <c r="G38" s="29">
        <f t="shared" si="14"/>
        <v>24408.557276375952</v>
      </c>
      <c r="H38" s="16">
        <f t="shared" si="4"/>
        <v>50.90027368339043</v>
      </c>
      <c r="I38" s="33">
        <f>IF(G37&lt;0.5,"",IF(OR(YEAR(A38)&lt;YEAR(A39),G38&lt;0.5),SUM($H$11:H38)-SUM($I$11:I37),""))</f>
      </c>
      <c r="J38" s="34">
        <f t="shared" si="15"/>
        <v>5769.462495156376</v>
      </c>
      <c r="K38" s="34">
        <f t="shared" si="16"/>
        <v>591.4427236240468</v>
      </c>
      <c r="L38" s="33">
        <f t="shared" si="9"/>
        <v>5852.895995327999</v>
      </c>
      <c r="M38" s="33">
        <f t="shared" si="17"/>
        <v>1116.2427304660746</v>
      </c>
    </row>
    <row r="39" spans="1:13" ht="12.75">
      <c r="A39" s="7">
        <f t="shared" si="7"/>
        <v>39599</v>
      </c>
      <c r="B39" s="4">
        <f t="shared" si="11"/>
        <v>29</v>
      </c>
      <c r="C39" s="29">
        <f t="shared" si="12"/>
        <v>227.1751863850151</v>
      </c>
      <c r="D39" s="29"/>
      <c r="E39" s="29">
        <f t="shared" si="13"/>
        <v>203.4046439697996</v>
      </c>
      <c r="F39" s="29">
        <f t="shared" si="8"/>
        <v>23.770542415215516</v>
      </c>
      <c r="G39" s="29">
        <f t="shared" si="14"/>
        <v>24384.786733960736</v>
      </c>
      <c r="H39" s="16">
        <f t="shared" si="4"/>
        <v>50.8511609924499</v>
      </c>
      <c r="I39" s="33">
        <f>IF(G38&lt;0.5,"",IF(OR(YEAR(A39)&lt;YEAR(A40),G39&lt;0.5),SUM($H$11:H39)-SUM($I$11:I38),""))</f>
      </c>
      <c r="J39" s="34">
        <f t="shared" si="15"/>
        <v>5972.867139126175</v>
      </c>
      <c r="K39" s="34">
        <f t="shared" si="16"/>
        <v>615.2132660392624</v>
      </c>
      <c r="L39" s="33">
        <f t="shared" si="9"/>
        <v>6044.809791263974</v>
      </c>
      <c r="M39" s="33">
        <f t="shared" si="17"/>
        <v>1116.2427304660746</v>
      </c>
    </row>
    <row r="40" spans="1:13" ht="12.75">
      <c r="A40" s="7">
        <f t="shared" si="7"/>
        <v>39629</v>
      </c>
      <c r="B40" s="23">
        <f t="shared" si="11"/>
        <v>30</v>
      </c>
      <c r="C40" s="30">
        <f t="shared" si="12"/>
        <v>227.1751863850151</v>
      </c>
      <c r="D40" s="30"/>
      <c r="E40" s="30">
        <f t="shared" si="13"/>
        <v>203.20655611633947</v>
      </c>
      <c r="F40" s="29">
        <f t="shared" si="8"/>
        <v>23.96863026867564</v>
      </c>
      <c r="G40" s="30">
        <f t="shared" si="14"/>
        <v>24360.81810369206</v>
      </c>
      <c r="H40" s="25">
        <f t="shared" si="4"/>
        <v>50.80163902908487</v>
      </c>
      <c r="I40" s="33">
        <f>IF(G39&lt;0.5,"",IF(OR(YEAR(A40)&lt;YEAR(A41),G40&lt;0.5),SUM($H$11:H40)-SUM($I$11:I39),""))</f>
      </c>
      <c r="J40" s="35">
        <f t="shared" si="15"/>
        <v>6176.073695242514</v>
      </c>
      <c r="K40" s="35">
        <f t="shared" si="16"/>
        <v>639.181896307938</v>
      </c>
      <c r="L40" s="33">
        <f t="shared" si="9"/>
        <v>6235.610582583916</v>
      </c>
      <c r="M40" s="33">
        <f t="shared" si="17"/>
        <v>1116.2427304660746</v>
      </c>
    </row>
    <row r="41" spans="1:13" ht="12.75">
      <c r="A41" s="7">
        <f t="shared" si="7"/>
        <v>39660</v>
      </c>
      <c r="B41" s="23">
        <f t="shared" si="11"/>
        <v>31</v>
      </c>
      <c r="C41" s="30">
        <f t="shared" si="12"/>
        <v>227.1751863850151</v>
      </c>
      <c r="D41" s="30"/>
      <c r="E41" s="30">
        <f t="shared" si="13"/>
        <v>203.00681753076717</v>
      </c>
      <c r="F41" s="29">
        <f t="shared" si="8"/>
        <v>24.168368854247944</v>
      </c>
      <c r="G41" s="30">
        <f t="shared" si="14"/>
        <v>24336.649734837814</v>
      </c>
      <c r="H41" s="25">
        <f t="shared" si="4"/>
        <v>50.75170438269179</v>
      </c>
      <c r="I41" s="33">
        <f>IF(G40&lt;0.5,"",IF(OR(YEAR(A41)&lt;YEAR(A42),G41&lt;0.5),SUM($H$11:H41)-SUM($I$11:I40),""))</f>
      </c>
      <c r="J41" s="35">
        <f t="shared" si="15"/>
        <v>6379.080512773281</v>
      </c>
      <c r="K41" s="35">
        <f t="shared" si="16"/>
        <v>663.3502651621859</v>
      </c>
      <c r="L41" s="33">
        <f t="shared" si="9"/>
        <v>6425.304824161323</v>
      </c>
      <c r="M41" s="33">
        <f t="shared" si="17"/>
        <v>1116.2427304660746</v>
      </c>
    </row>
    <row r="42" spans="1:13" ht="12.75">
      <c r="A42" s="7">
        <f t="shared" si="7"/>
        <v>39691</v>
      </c>
      <c r="B42" s="23">
        <f t="shared" si="11"/>
        <v>32</v>
      </c>
      <c r="C42" s="30">
        <f t="shared" si="12"/>
        <v>227.1751863850151</v>
      </c>
      <c r="D42" s="30"/>
      <c r="E42" s="30">
        <f t="shared" si="13"/>
        <v>202.8054144569818</v>
      </c>
      <c r="F42" s="29">
        <f t="shared" si="8"/>
        <v>24.369771928033316</v>
      </c>
      <c r="G42" s="30">
        <f t="shared" si="14"/>
        <v>24312.279962909783</v>
      </c>
      <c r="H42" s="25">
        <f t="shared" si="4"/>
        <v>50.70135361424545</v>
      </c>
      <c r="I42" s="33">
        <f>IF(G41&lt;0.5,"",IF(OR(YEAR(A42)&lt;YEAR(A43),G42&lt;0.5),SUM($H$11:H42)-SUM($I$11:I41),""))</f>
      </c>
      <c r="J42" s="35">
        <f t="shared" si="15"/>
        <v>6581.8859272302625</v>
      </c>
      <c r="K42" s="35">
        <f t="shared" si="16"/>
        <v>687.7200370902192</v>
      </c>
      <c r="L42" s="33">
        <f t="shared" si="9"/>
        <v>6613.898933434636</v>
      </c>
      <c r="M42" s="33">
        <f t="shared" si="17"/>
        <v>1116.2427304660746</v>
      </c>
    </row>
    <row r="43" spans="1:13" ht="12.75">
      <c r="A43" s="7">
        <f t="shared" si="7"/>
        <v>39721</v>
      </c>
      <c r="B43" s="23">
        <f t="shared" si="11"/>
        <v>33</v>
      </c>
      <c r="C43" s="30">
        <f t="shared" si="12"/>
        <v>227.1751863850151</v>
      </c>
      <c r="D43" s="30"/>
      <c r="E43" s="30">
        <f t="shared" si="13"/>
        <v>202.6023330242482</v>
      </c>
      <c r="F43" s="29">
        <f t="shared" si="8"/>
        <v>24.572853360766914</v>
      </c>
      <c r="G43" s="30">
        <f t="shared" si="14"/>
        <v>24287.707109549017</v>
      </c>
      <c r="H43" s="25">
        <f t="shared" si="4"/>
        <v>50.65058325606205</v>
      </c>
      <c r="I43" s="33">
        <f>IF(G42&lt;0.5,"",IF(OR(YEAR(A43)&lt;YEAR(A44),G43&lt;0.5),SUM($H$11:H43)-SUM($I$11:I42),""))</f>
      </c>
      <c r="J43" s="35">
        <f t="shared" si="15"/>
        <v>6784.48826025451</v>
      </c>
      <c r="K43" s="35">
        <f t="shared" si="16"/>
        <v>712.2928904509861</v>
      </c>
      <c r="L43" s="33">
        <f t="shared" si="9"/>
        <v>6801.399290624342</v>
      </c>
      <c r="M43" s="33">
        <f t="shared" si="17"/>
        <v>1116.2427304660746</v>
      </c>
    </row>
    <row r="44" spans="1:13" ht="12.75">
      <c r="A44" s="7">
        <f t="shared" si="7"/>
        <v>39752</v>
      </c>
      <c r="B44" s="23">
        <f aca="true" t="shared" si="18" ref="B44:B59">B43+1</f>
        <v>34</v>
      </c>
      <c r="C44" s="30">
        <f aca="true" t="shared" si="19" ref="C44:C59">IF(G43&gt;0.5,C43,"")</f>
        <v>227.1751863850151</v>
      </c>
      <c r="D44" s="30"/>
      <c r="E44" s="30">
        <f aca="true" t="shared" si="20" ref="E44:E59">IF(G43&gt;0.5,$J$3*G43,"")</f>
        <v>202.3975592462418</v>
      </c>
      <c r="F44" s="29">
        <f t="shared" si="8"/>
        <v>24.777627138773312</v>
      </c>
      <c r="G44" s="30">
        <f aca="true" t="shared" si="21" ref="G44:G59">IF(G43&gt;0.5,G43-F44,0)</f>
        <v>24262.929482410244</v>
      </c>
      <c r="H44" s="25">
        <f aca="true" t="shared" si="22" ref="H44:H75">IF(G43&gt;0.5,E44*$J$5,"")</f>
        <v>50.59938981156045</v>
      </c>
      <c r="I44" s="33">
        <f>IF(G43&lt;0.5,"",IF(OR(YEAR(A44)&lt;YEAR(A45),G44&lt;0.5),SUM($H$11:H44)-SUM($I$11:I43),""))</f>
      </c>
      <c r="J44" s="35">
        <f aca="true" t="shared" si="23" ref="J44:J59">IF(G43&gt;0.5,J43+E44,"")</f>
        <v>6986.885819500752</v>
      </c>
      <c r="K44" s="35">
        <f aca="true" t="shared" si="24" ref="K44:K59">IF(G43&gt;0.5,K43+F44,"")</f>
        <v>737.0705175897594</v>
      </c>
      <c r="L44" s="33">
        <f t="shared" si="9"/>
        <v>6987.812238948823</v>
      </c>
      <c r="M44" s="33">
        <f t="shared" si="17"/>
        <v>1116.2427304660746</v>
      </c>
    </row>
    <row r="45" spans="1:13" ht="12.75">
      <c r="A45" s="7">
        <f t="shared" si="7"/>
        <v>39782</v>
      </c>
      <c r="B45" s="23">
        <f t="shared" si="18"/>
        <v>35</v>
      </c>
      <c r="C45" s="30">
        <f t="shared" si="19"/>
        <v>227.1751863850151</v>
      </c>
      <c r="D45" s="30"/>
      <c r="E45" s="30">
        <f t="shared" si="20"/>
        <v>202.19107902008537</v>
      </c>
      <c r="F45" s="29">
        <f t="shared" si="8"/>
        <v>24.98410736492974</v>
      </c>
      <c r="G45" s="30">
        <f t="shared" si="21"/>
        <v>24237.945375045314</v>
      </c>
      <c r="H45" s="25">
        <f t="shared" si="22"/>
        <v>50.54776975502134</v>
      </c>
      <c r="I45" s="33">
        <f>IF(G44&lt;0.5,"",IF(OR(YEAR(A45)&lt;YEAR(A46),G45&lt;0.5),SUM($H$11:H45)-SUM($I$11:I44),""))</f>
      </c>
      <c r="J45" s="35">
        <f t="shared" si="23"/>
        <v>7189.076898520838</v>
      </c>
      <c r="K45" s="35">
        <f t="shared" si="24"/>
        <v>762.0546249546892</v>
      </c>
      <c r="L45" s="33">
        <f t="shared" si="9"/>
        <v>7173.144084838944</v>
      </c>
      <c r="M45" s="33">
        <f aca="true" t="shared" si="25" ref="M45:M60">IF(G44&lt;0.5,"",IF(I45="",M44,I45/(1+$J$4)^B45+M44))</f>
        <v>1116.2427304660746</v>
      </c>
    </row>
    <row r="46" spans="1:13" ht="12.75">
      <c r="A46" s="7">
        <f t="shared" si="7"/>
        <v>39813</v>
      </c>
      <c r="B46" s="23">
        <f t="shared" si="18"/>
        <v>36</v>
      </c>
      <c r="C46" s="30">
        <f t="shared" si="19"/>
        <v>227.1751863850151</v>
      </c>
      <c r="D46" s="30"/>
      <c r="E46" s="30">
        <f t="shared" si="20"/>
        <v>201.98287812537762</v>
      </c>
      <c r="F46" s="29">
        <f t="shared" si="8"/>
        <v>25.192308259637485</v>
      </c>
      <c r="G46" s="30">
        <f t="shared" si="21"/>
        <v>24212.753066785677</v>
      </c>
      <c r="H46" s="25">
        <f t="shared" si="22"/>
        <v>50.495719531344406</v>
      </c>
      <c r="I46" s="33">
        <f>IF(G45&lt;0.5,"",IF(OR(YEAR(A46)&lt;YEAR(A47),G46&lt;0.5),SUM($H$11:H46)-SUM($I$11:I45),""))</f>
        <v>609.2910490961785</v>
      </c>
      <c r="J46" s="35">
        <f t="shared" si="23"/>
        <v>7391.059776646215</v>
      </c>
      <c r="K46" s="35">
        <f t="shared" si="24"/>
        <v>787.2469332143266</v>
      </c>
      <c r="L46" s="33">
        <f t="shared" si="9"/>
        <v>7357.401098151409</v>
      </c>
      <c r="M46" s="33">
        <f t="shared" si="25"/>
        <v>1610.4258792991184</v>
      </c>
    </row>
    <row r="47" spans="1:13" ht="12.75">
      <c r="A47" s="7">
        <f t="shared" si="7"/>
        <v>39844</v>
      </c>
      <c r="B47" s="23">
        <f t="shared" si="18"/>
        <v>37</v>
      </c>
      <c r="C47" s="30">
        <f t="shared" si="19"/>
        <v>227.1751863850151</v>
      </c>
      <c r="D47" s="30"/>
      <c r="E47" s="30">
        <f t="shared" si="20"/>
        <v>201.772942223214</v>
      </c>
      <c r="F47" s="29">
        <f t="shared" si="8"/>
        <v>25.40224416180112</v>
      </c>
      <c r="G47" s="30">
        <f t="shared" si="21"/>
        <v>24187.350822623877</v>
      </c>
      <c r="H47" s="25">
        <f t="shared" si="22"/>
        <v>50.4432355558035</v>
      </c>
      <c r="I47" s="33">
        <f>IF(G46&lt;0.5,"",IF(OR(YEAR(A47)&lt;YEAR(A48),G47&lt;0.5),SUM($H$11:H47)-SUM($I$11:I46),""))</f>
      </c>
      <c r="J47" s="35">
        <f t="shared" si="23"/>
        <v>7592.832718869429</v>
      </c>
      <c r="K47" s="35">
        <f t="shared" si="24"/>
        <v>812.6491773761278</v>
      </c>
      <c r="L47" s="33">
        <f t="shared" si="9"/>
        <v>7540.58951238087</v>
      </c>
      <c r="M47" s="33">
        <f t="shared" si="25"/>
        <v>1610.4258792991184</v>
      </c>
    </row>
    <row r="48" spans="1:13" ht="12.75">
      <c r="A48" s="7">
        <f t="shared" si="7"/>
        <v>39872</v>
      </c>
      <c r="B48" s="23">
        <f t="shared" si="18"/>
        <v>38</v>
      </c>
      <c r="C48" s="30">
        <f t="shared" si="19"/>
        <v>227.1751863850151</v>
      </c>
      <c r="D48" s="30"/>
      <c r="E48" s="30">
        <f t="shared" si="20"/>
        <v>201.56125685519896</v>
      </c>
      <c r="F48" s="29">
        <f t="shared" si="8"/>
        <v>25.613929529816147</v>
      </c>
      <c r="G48" s="30">
        <f t="shared" si="21"/>
        <v>24161.73689309406</v>
      </c>
      <c r="H48" s="25">
        <f t="shared" si="22"/>
        <v>50.39031421379974</v>
      </c>
      <c r="I48" s="33">
        <f>IF(G47&lt;0.5,"",IF(OR(YEAR(A48)&lt;YEAR(A49),G48&lt;0.5),SUM($H$11:H48)-SUM($I$11:I47),""))</f>
      </c>
      <c r="J48" s="35">
        <f t="shared" si="23"/>
        <v>7794.393975724628</v>
      </c>
      <c r="K48" s="35">
        <f t="shared" si="24"/>
        <v>838.2631069059439</v>
      </c>
      <c r="L48" s="33">
        <f t="shared" si="9"/>
        <v>7722.715524870805</v>
      </c>
      <c r="M48" s="33">
        <f t="shared" si="25"/>
        <v>1610.4258792991184</v>
      </c>
    </row>
    <row r="49" spans="1:13" ht="12.75">
      <c r="A49" s="7">
        <f t="shared" si="7"/>
        <v>39903</v>
      </c>
      <c r="B49" s="23">
        <f t="shared" si="18"/>
        <v>39</v>
      </c>
      <c r="C49" s="30">
        <f t="shared" si="19"/>
        <v>227.1751863850151</v>
      </c>
      <c r="D49" s="30"/>
      <c r="E49" s="30">
        <f t="shared" si="20"/>
        <v>201.34780744245052</v>
      </c>
      <c r="F49" s="29">
        <f t="shared" si="8"/>
        <v>25.827378942564593</v>
      </c>
      <c r="G49" s="30">
        <f t="shared" si="21"/>
        <v>24135.909514151495</v>
      </c>
      <c r="H49" s="25">
        <f t="shared" si="22"/>
        <v>50.33695186061263</v>
      </c>
      <c r="I49" s="33">
        <f>IF(G48&lt;0.5,"",IF(OR(YEAR(A49)&lt;YEAR(A50),G49&lt;0.5),SUM($H$11:H49)-SUM($I$11:I48),""))</f>
      </c>
      <c r="J49" s="35">
        <f t="shared" si="23"/>
        <v>7995.741783167078</v>
      </c>
      <c r="K49" s="35">
        <f t="shared" si="24"/>
        <v>864.0904858485085</v>
      </c>
      <c r="L49" s="33">
        <f t="shared" si="9"/>
        <v>7903.785297023184</v>
      </c>
      <c r="M49" s="33">
        <f t="shared" si="25"/>
        <v>1610.4258792991184</v>
      </c>
    </row>
    <row r="50" spans="1:13" ht="12.75">
      <c r="A50" s="7">
        <f t="shared" si="7"/>
        <v>39933</v>
      </c>
      <c r="B50" s="23">
        <f t="shared" si="18"/>
        <v>40</v>
      </c>
      <c r="C50" s="30">
        <f t="shared" si="19"/>
        <v>227.1751863850151</v>
      </c>
      <c r="D50" s="30"/>
      <c r="E50" s="30">
        <f t="shared" si="20"/>
        <v>201.1325792845958</v>
      </c>
      <c r="F50" s="29">
        <f t="shared" si="8"/>
        <v>26.042607100419303</v>
      </c>
      <c r="G50" s="30">
        <f t="shared" si="21"/>
        <v>24109.866907051077</v>
      </c>
      <c r="H50" s="25">
        <f t="shared" si="22"/>
        <v>50.28314482114895</v>
      </c>
      <c r="I50" s="33">
        <f>IF(G49&lt;0.5,"",IF(OR(YEAR(A50)&lt;YEAR(A51),G50&lt;0.5),SUM($H$11:H50)-SUM($I$11:I49),""))</f>
      </c>
      <c r="J50" s="35">
        <f t="shared" si="23"/>
        <v>8196.874362451674</v>
      </c>
      <c r="K50" s="35">
        <f t="shared" si="24"/>
        <v>890.1330929489278</v>
      </c>
      <c r="L50" s="33">
        <f t="shared" si="9"/>
        <v>8083.804954506909</v>
      </c>
      <c r="M50" s="33">
        <f t="shared" si="25"/>
        <v>1610.4258792991184</v>
      </c>
    </row>
    <row r="51" spans="1:13" ht="12.75">
      <c r="A51" s="7">
        <f t="shared" si="7"/>
        <v>39964</v>
      </c>
      <c r="B51" s="23">
        <f t="shared" si="18"/>
        <v>41</v>
      </c>
      <c r="C51" s="30">
        <f t="shared" si="19"/>
        <v>227.1751863850151</v>
      </c>
      <c r="D51" s="30"/>
      <c r="E51" s="30">
        <f t="shared" si="20"/>
        <v>200.91555755875896</v>
      </c>
      <c r="F51" s="29">
        <f t="shared" si="8"/>
        <v>26.259628826256147</v>
      </c>
      <c r="G51" s="30">
        <f t="shared" si="21"/>
        <v>24083.60727822482</v>
      </c>
      <c r="H51" s="25">
        <f t="shared" si="22"/>
        <v>50.22888938968974</v>
      </c>
      <c r="I51" s="33">
        <f>IF(G50&lt;0.5,"",IF(OR(YEAR(A51)&lt;YEAR(A52),G51&lt;0.5),SUM($H$11:H51)-SUM($I$11:I50),""))</f>
      </c>
      <c r="J51" s="35">
        <f t="shared" si="23"/>
        <v>8397.789920010433</v>
      </c>
      <c r="K51" s="35">
        <f t="shared" si="24"/>
        <v>916.392721775184</v>
      </c>
      <c r="L51" s="33">
        <f t="shared" si="9"/>
        <v>8262.780587465044</v>
      </c>
      <c r="M51" s="33">
        <f t="shared" si="25"/>
        <v>1610.4258792991184</v>
      </c>
    </row>
    <row r="52" spans="1:13" ht="12.75">
      <c r="A52" s="7">
        <f t="shared" si="7"/>
        <v>39994</v>
      </c>
      <c r="B52" s="23">
        <f t="shared" si="18"/>
        <v>42</v>
      </c>
      <c r="C52" s="30">
        <f t="shared" si="19"/>
        <v>227.1751863850151</v>
      </c>
      <c r="D52" s="30"/>
      <c r="E52" s="30">
        <f t="shared" si="20"/>
        <v>200.69672731854016</v>
      </c>
      <c r="F52" s="29">
        <f t="shared" si="8"/>
        <v>26.478459066474954</v>
      </c>
      <c r="G52" s="30">
        <f t="shared" si="21"/>
        <v>24057.128819158344</v>
      </c>
      <c r="H52" s="25">
        <f t="shared" si="22"/>
        <v>50.17418182963504</v>
      </c>
      <c r="I52" s="33">
        <f>IF(G51&lt;0.5,"",IF(OR(YEAR(A52)&lt;YEAR(A53),G52&lt;0.5),SUM($H$11:H52)-SUM($I$11:I51),""))</f>
      </c>
      <c r="J52" s="35">
        <f t="shared" si="23"/>
        <v>8598.486647328973</v>
      </c>
      <c r="K52" s="35">
        <f t="shared" si="24"/>
        <v>942.871180841659</v>
      </c>
      <c r="L52" s="33">
        <f t="shared" si="9"/>
        <v>8440.718250720854</v>
      </c>
      <c r="M52" s="33">
        <f t="shared" si="25"/>
        <v>1610.4258792991184</v>
      </c>
    </row>
    <row r="53" spans="1:13" ht="12.75">
      <c r="A53" s="7">
        <f t="shared" si="7"/>
        <v>40025</v>
      </c>
      <c r="B53" s="23">
        <f t="shared" si="18"/>
        <v>43</v>
      </c>
      <c r="C53" s="30">
        <f t="shared" si="19"/>
        <v>227.1751863850151</v>
      </c>
      <c r="D53" s="30"/>
      <c r="E53" s="30">
        <f t="shared" si="20"/>
        <v>200.4760734929862</v>
      </c>
      <c r="F53" s="29">
        <f t="shared" si="8"/>
        <v>26.69911289202892</v>
      </c>
      <c r="G53" s="30">
        <f t="shared" si="21"/>
        <v>24030.429706266317</v>
      </c>
      <c r="H53" s="25">
        <f t="shared" si="22"/>
        <v>50.11901837324655</v>
      </c>
      <c r="I53" s="33">
        <f>IF(G52&lt;0.5,"",IF(OR(YEAR(A53)&lt;YEAR(A54),G53&lt;0.5),SUM($H$11:H53)-SUM($I$11:I52),""))</f>
      </c>
      <c r="J53" s="35">
        <f t="shared" si="23"/>
        <v>8798.962720821959</v>
      </c>
      <c r="K53" s="35">
        <f t="shared" si="24"/>
        <v>969.5702937336879</v>
      </c>
      <c r="L53" s="33">
        <f t="shared" si="9"/>
        <v>8617.623963982638</v>
      </c>
      <c r="M53" s="33">
        <f t="shared" si="25"/>
        <v>1610.4258792991184</v>
      </c>
    </row>
    <row r="54" spans="1:13" ht="12.75">
      <c r="A54" s="7">
        <f t="shared" si="7"/>
        <v>40056</v>
      </c>
      <c r="B54" s="23">
        <f t="shared" si="18"/>
        <v>44</v>
      </c>
      <c r="C54" s="30">
        <f t="shared" si="19"/>
        <v>227.1751863850151</v>
      </c>
      <c r="D54" s="30"/>
      <c r="E54" s="30">
        <f t="shared" si="20"/>
        <v>200.25358088555265</v>
      </c>
      <c r="F54" s="29">
        <f t="shared" si="8"/>
        <v>26.92160549946246</v>
      </c>
      <c r="G54" s="30">
        <f t="shared" si="21"/>
        <v>24003.508100766856</v>
      </c>
      <c r="H54" s="25">
        <f t="shared" si="22"/>
        <v>50.06339522138816</v>
      </c>
      <c r="I54" s="33">
        <f>IF(G53&lt;0.5,"",IF(OR(YEAR(A54)&lt;YEAR(A55),G54&lt;0.5),SUM($H$11:H54)-SUM($I$11:I53),""))</f>
      </c>
      <c r="J54" s="35">
        <f t="shared" si="23"/>
        <v>8999.21630170751</v>
      </c>
      <c r="K54" s="35">
        <f t="shared" si="24"/>
        <v>996.4918992331503</v>
      </c>
      <c r="L54" s="33">
        <f t="shared" si="9"/>
        <v>8793.503712047377</v>
      </c>
      <c r="M54" s="33">
        <f t="shared" si="25"/>
        <v>1610.4258792991184</v>
      </c>
    </row>
    <row r="55" spans="1:13" ht="12.75">
      <c r="A55" s="7">
        <f t="shared" si="7"/>
        <v>40086</v>
      </c>
      <c r="B55" s="23">
        <f t="shared" si="18"/>
        <v>45</v>
      </c>
      <c r="C55" s="30">
        <f t="shared" si="19"/>
        <v>227.1751863850151</v>
      </c>
      <c r="D55" s="30"/>
      <c r="E55" s="30">
        <f t="shared" si="20"/>
        <v>200.02923417305712</v>
      </c>
      <c r="F55" s="29">
        <f t="shared" si="8"/>
        <v>27.14595221195799</v>
      </c>
      <c r="G55" s="30">
        <f t="shared" si="21"/>
        <v>23976.362148554897</v>
      </c>
      <c r="H55" s="25">
        <f t="shared" si="22"/>
        <v>50.00730854326428</v>
      </c>
      <c r="I55" s="33">
        <f>IF(G54&lt;0.5,"",IF(OR(YEAR(A55)&lt;YEAR(A56),G55&lt;0.5),SUM($H$11:H55)-SUM($I$11:I54),""))</f>
      </c>
      <c r="J55" s="35">
        <f t="shared" si="23"/>
        <v>9199.245535880567</v>
      </c>
      <c r="K55" s="35">
        <f t="shared" si="24"/>
        <v>1023.6378514451083</v>
      </c>
      <c r="L55" s="33">
        <f t="shared" si="9"/>
        <v>8968.363445003206</v>
      </c>
      <c r="M55" s="33">
        <f t="shared" si="25"/>
        <v>1610.4258792991184</v>
      </c>
    </row>
    <row r="56" spans="1:13" ht="12.75">
      <c r="A56" s="7">
        <f t="shared" si="7"/>
        <v>40117</v>
      </c>
      <c r="B56" s="23">
        <f t="shared" si="18"/>
        <v>46</v>
      </c>
      <c r="C56" s="30">
        <f t="shared" si="19"/>
        <v>227.1751863850151</v>
      </c>
      <c r="D56" s="30"/>
      <c r="E56" s="30">
        <f t="shared" si="20"/>
        <v>199.80301790462414</v>
      </c>
      <c r="F56" s="29">
        <f t="shared" si="8"/>
        <v>27.372168480390968</v>
      </c>
      <c r="G56" s="30">
        <f t="shared" si="21"/>
        <v>23948.989980074508</v>
      </c>
      <c r="H56" s="25">
        <f t="shared" si="22"/>
        <v>49.950754476156035</v>
      </c>
      <c r="I56" s="33">
        <f>IF(G55&lt;0.5,"",IF(OR(YEAR(A56)&lt;YEAR(A57),G56&lt;0.5),SUM($H$11:H56)-SUM($I$11:I55),""))</f>
      </c>
      <c r="J56" s="35">
        <f t="shared" si="23"/>
        <v>9399.048553785191</v>
      </c>
      <c r="K56" s="35">
        <f t="shared" si="24"/>
        <v>1051.0100199254991</v>
      </c>
      <c r="L56" s="33">
        <f t="shared" si="9"/>
        <v>9142.209078430707</v>
      </c>
      <c r="M56" s="33">
        <f t="shared" si="25"/>
        <v>1610.4258792991184</v>
      </c>
    </row>
    <row r="57" spans="1:13" ht="12.75">
      <c r="A57" s="7">
        <f t="shared" si="7"/>
        <v>40147</v>
      </c>
      <c r="B57" s="23">
        <f t="shared" si="18"/>
        <v>47</v>
      </c>
      <c r="C57" s="30">
        <f t="shared" si="19"/>
        <v>227.1751863850151</v>
      </c>
      <c r="D57" s="30"/>
      <c r="E57" s="30">
        <f t="shared" si="20"/>
        <v>199.5749165006209</v>
      </c>
      <c r="F57" s="29">
        <f t="shared" si="8"/>
        <v>27.60026988439421</v>
      </c>
      <c r="G57" s="30">
        <f t="shared" si="21"/>
        <v>23921.389710190113</v>
      </c>
      <c r="H57" s="25">
        <f t="shared" si="22"/>
        <v>49.893729125155225</v>
      </c>
      <c r="I57" s="33">
        <f>IF(G56&lt;0.5,"",IF(OR(YEAR(A57)&lt;YEAR(A58),G57&lt;0.5),SUM($H$11:H57)-SUM($I$11:I56),""))</f>
      </c>
      <c r="J57" s="35">
        <f t="shared" si="23"/>
        <v>9598.623470285811</v>
      </c>
      <c r="K57" s="35">
        <f t="shared" si="24"/>
        <v>1078.6102898098934</v>
      </c>
      <c r="L57" s="33">
        <f t="shared" si="9"/>
        <v>9315.046493603038</v>
      </c>
      <c r="M57" s="33">
        <f t="shared" si="25"/>
        <v>1610.4258792991184</v>
      </c>
    </row>
    <row r="58" spans="1:13" ht="12.75">
      <c r="A58" s="7">
        <f t="shared" si="7"/>
        <v>40178</v>
      </c>
      <c r="B58" s="23">
        <f t="shared" si="18"/>
        <v>48</v>
      </c>
      <c r="C58" s="30">
        <f t="shared" si="19"/>
        <v>227.1751863850151</v>
      </c>
      <c r="D58" s="30"/>
      <c r="E58" s="30">
        <f t="shared" si="20"/>
        <v>199.34491425158427</v>
      </c>
      <c r="F58" s="29">
        <f t="shared" si="8"/>
        <v>27.83027213343084</v>
      </c>
      <c r="G58" s="30">
        <f t="shared" si="21"/>
        <v>23893.559438056684</v>
      </c>
      <c r="H58" s="25">
        <f t="shared" si="22"/>
        <v>49.83622856289607</v>
      </c>
      <c r="I58" s="33">
        <f>IF(G57&lt;0.5,"",IF(OR(YEAR(A58)&lt;YEAR(A59),G58&lt;0.5),SUM($H$11:H58)-SUM($I$11:I57),""))</f>
        <v>601.7271519727949</v>
      </c>
      <c r="J58" s="35">
        <f t="shared" si="23"/>
        <v>9797.968384537395</v>
      </c>
      <c r="K58" s="35">
        <f t="shared" si="24"/>
        <v>1106.4405619433242</v>
      </c>
      <c r="L58" s="33">
        <f t="shared" si="9"/>
        <v>9486.88153768489</v>
      </c>
      <c r="M58" s="33">
        <f t="shared" si="25"/>
        <v>2065.5715901042377</v>
      </c>
    </row>
    <row r="59" spans="1:13" ht="12.75">
      <c r="A59" s="7">
        <f t="shared" si="7"/>
        <v>40209</v>
      </c>
      <c r="B59" s="23">
        <f t="shared" si="18"/>
        <v>49</v>
      </c>
      <c r="C59" s="30">
        <f t="shared" si="19"/>
        <v>227.1751863850151</v>
      </c>
      <c r="D59" s="30"/>
      <c r="E59" s="30">
        <f t="shared" si="20"/>
        <v>199.11299531713902</v>
      </c>
      <c r="F59" s="29">
        <f t="shared" si="8"/>
        <v>28.062191067876086</v>
      </c>
      <c r="G59" s="30">
        <f t="shared" si="21"/>
        <v>23865.49724698881</v>
      </c>
      <c r="H59" s="25">
        <f t="shared" si="22"/>
        <v>49.778248829284756</v>
      </c>
      <c r="I59" s="33">
        <f>IF(G58&lt;0.5,"",IF(OR(YEAR(A59)&lt;YEAR(A60),G59&lt;0.5),SUM($H$11:H59)-SUM($I$11:I58),""))</f>
      </c>
      <c r="J59" s="35">
        <f t="shared" si="23"/>
        <v>9997.081379854533</v>
      </c>
      <c r="K59" s="35">
        <f t="shared" si="24"/>
        <v>1134.5027530112002</v>
      </c>
      <c r="L59" s="33">
        <f t="shared" si="9"/>
        <v>9657.720023930313</v>
      </c>
      <c r="M59" s="33">
        <f t="shared" si="25"/>
        <v>2065.5715901042377</v>
      </c>
    </row>
    <row r="60" spans="1:13" ht="12.75">
      <c r="A60" s="7">
        <f t="shared" si="7"/>
        <v>40237</v>
      </c>
      <c r="B60" s="23">
        <f aca="true" t="shared" si="26" ref="B60:B75">B59+1</f>
        <v>50</v>
      </c>
      <c r="C60" s="30">
        <f aca="true" t="shared" si="27" ref="C60:C75">IF(G59&gt;0.5,C59,"")</f>
        <v>227.1751863850151</v>
      </c>
      <c r="D60" s="30"/>
      <c r="E60" s="30">
        <f aca="true" t="shared" si="28" ref="E60:E75">IF(G59&gt;0.5,$J$3*G59,"")</f>
        <v>198.87914372490673</v>
      </c>
      <c r="F60" s="29">
        <f t="shared" si="8"/>
        <v>28.296042660108384</v>
      </c>
      <c r="G60" s="30">
        <f aca="true" t="shared" si="29" ref="G60:G75">IF(G59&gt;0.5,G59-F60,0)</f>
        <v>23837.2012043287</v>
      </c>
      <c r="H60" s="25">
        <f t="shared" si="22"/>
        <v>49.71978593122668</v>
      </c>
      <c r="I60" s="33">
        <f>IF(G59&lt;0.5,"",IF(OR(YEAR(A60)&lt;YEAR(A61),G60&lt;0.5),SUM($H$11:H60)-SUM($I$11:I59),""))</f>
      </c>
      <c r="J60" s="35">
        <f aca="true" t="shared" si="30" ref="J60:J75">IF(G59&gt;0.5,J59+E60,"")</f>
        <v>10195.96052357944</v>
      </c>
      <c r="K60" s="35">
        <f aca="true" t="shared" si="31" ref="K60:K75">IF(G59&gt;0.5,K59+F60,"")</f>
        <v>1162.7987956713087</v>
      </c>
      <c r="L60" s="33">
        <f t="shared" si="9"/>
        <v>9827.567731879364</v>
      </c>
      <c r="M60" s="33">
        <f t="shared" si="25"/>
        <v>2065.5715901042377</v>
      </c>
    </row>
    <row r="61" spans="1:13" ht="12.75">
      <c r="A61" s="7">
        <f t="shared" si="7"/>
        <v>40268</v>
      </c>
      <c r="B61" s="23">
        <f t="shared" si="26"/>
        <v>51</v>
      </c>
      <c r="C61" s="30">
        <f t="shared" si="27"/>
        <v>227.1751863850151</v>
      </c>
      <c r="D61" s="30"/>
      <c r="E61" s="30">
        <f t="shared" si="28"/>
        <v>198.64334336940584</v>
      </c>
      <c r="F61" s="29">
        <f t="shared" si="8"/>
        <v>28.53184301560927</v>
      </c>
      <c r="G61" s="30">
        <f t="shared" si="29"/>
        <v>23808.669361313092</v>
      </c>
      <c r="H61" s="25">
        <f t="shared" si="22"/>
        <v>49.66083584235146</v>
      </c>
      <c r="I61" s="33">
        <f>IF(G60&lt;0.5,"",IF(OR(YEAR(A61)&lt;YEAR(A62),G61&lt;0.5),SUM($H$11:H61)-SUM($I$11:I60),""))</f>
      </c>
      <c r="J61" s="35">
        <f t="shared" si="30"/>
        <v>10394.603866948846</v>
      </c>
      <c r="K61" s="35">
        <f t="shared" si="31"/>
        <v>1191.3306386869178</v>
      </c>
      <c r="L61" s="33">
        <f t="shared" si="9"/>
        <v>9996.43040755365</v>
      </c>
      <c r="M61" s="33">
        <f aca="true" t="shared" si="32" ref="M61:M76">IF(G60&lt;0.5,"",IF(I61="",M60,I61/(1+$J$4)^B61+M60))</f>
        <v>2065.5715901042377</v>
      </c>
    </row>
    <row r="62" spans="1:13" ht="12.75">
      <c r="A62" s="7">
        <f t="shared" si="7"/>
        <v>40298</v>
      </c>
      <c r="B62" s="23">
        <f t="shared" si="26"/>
        <v>52</v>
      </c>
      <c r="C62" s="30">
        <f t="shared" si="27"/>
        <v>227.1751863850151</v>
      </c>
      <c r="D62" s="30"/>
      <c r="E62" s="30">
        <f t="shared" si="28"/>
        <v>198.40557801094243</v>
      </c>
      <c r="F62" s="29">
        <f t="shared" si="8"/>
        <v>28.769608374072675</v>
      </c>
      <c r="G62" s="30">
        <f t="shared" si="29"/>
        <v>23779.899752939018</v>
      </c>
      <c r="H62" s="25">
        <f t="shared" si="22"/>
        <v>49.60139450273561</v>
      </c>
      <c r="I62" s="33">
        <f>IF(G61&lt;0.5,"",IF(OR(YEAR(A62)&lt;YEAR(A63),G62&lt;0.5),SUM($H$11:H62)-SUM($I$11:I61),""))</f>
      </c>
      <c r="J62" s="35">
        <f t="shared" si="30"/>
        <v>10593.00944495979</v>
      </c>
      <c r="K62" s="35">
        <f t="shared" si="31"/>
        <v>1220.1002470609906</v>
      </c>
      <c r="L62" s="33">
        <f t="shared" si="9"/>
        <v>10164.313763650702</v>
      </c>
      <c r="M62" s="33">
        <f t="shared" si="32"/>
        <v>2065.5715901042377</v>
      </c>
    </row>
    <row r="63" spans="1:13" ht="12.75">
      <c r="A63" s="7">
        <f t="shared" si="7"/>
        <v>40329</v>
      </c>
      <c r="B63" s="23">
        <f t="shared" si="26"/>
        <v>53</v>
      </c>
      <c r="C63" s="30">
        <f t="shared" si="27"/>
        <v>227.1751863850151</v>
      </c>
      <c r="D63" s="30"/>
      <c r="E63" s="30">
        <f t="shared" si="28"/>
        <v>198.1658312744918</v>
      </c>
      <c r="F63" s="29">
        <f t="shared" si="8"/>
        <v>29.009355110523302</v>
      </c>
      <c r="G63" s="30">
        <f t="shared" si="29"/>
        <v>23750.890397828494</v>
      </c>
      <c r="H63" s="25">
        <f t="shared" si="22"/>
        <v>49.54145781862295</v>
      </c>
      <c r="I63" s="33">
        <f>IF(G62&lt;0.5,"",IF(OR(YEAR(A63)&lt;YEAR(A64),G63&lt;0.5),SUM($H$11:H63)-SUM($I$11:I62),""))</f>
      </c>
      <c r="J63" s="35">
        <f t="shared" si="30"/>
        <v>10791.17527623428</v>
      </c>
      <c r="K63" s="35">
        <f t="shared" si="31"/>
        <v>1249.1096021715139</v>
      </c>
      <c r="L63" s="33">
        <f t="shared" si="9"/>
        <v>10331.22347973725</v>
      </c>
      <c r="M63" s="33">
        <f t="shared" si="32"/>
        <v>2065.5715901042377</v>
      </c>
    </row>
    <row r="64" spans="1:13" ht="12.75">
      <c r="A64" s="7">
        <f t="shared" si="7"/>
        <v>40359</v>
      </c>
      <c r="B64" s="23">
        <f t="shared" si="26"/>
        <v>54</v>
      </c>
      <c r="C64" s="30">
        <f t="shared" si="27"/>
        <v>227.1751863850151</v>
      </c>
      <c r="D64" s="30"/>
      <c r="E64" s="30">
        <f t="shared" si="28"/>
        <v>197.92408664857078</v>
      </c>
      <c r="F64" s="29">
        <f t="shared" si="8"/>
        <v>29.25109973644433</v>
      </c>
      <c r="G64" s="30">
        <f t="shared" si="29"/>
        <v>23721.63929809205</v>
      </c>
      <c r="H64" s="25">
        <f t="shared" si="22"/>
        <v>49.481021662142695</v>
      </c>
      <c r="I64" s="33">
        <f>IF(G63&lt;0.5,"",IF(OR(YEAR(A64)&lt;YEAR(A65),G64&lt;0.5),SUM($H$11:H64)-SUM($I$11:I63),""))</f>
      </c>
      <c r="J64" s="35">
        <f t="shared" si="30"/>
        <v>10989.099362882851</v>
      </c>
      <c r="K64" s="35">
        <f t="shared" si="31"/>
        <v>1278.3607019079582</v>
      </c>
      <c r="L64" s="33">
        <f t="shared" si="9"/>
        <v>10497.165202441356</v>
      </c>
      <c r="M64" s="33">
        <f t="shared" si="32"/>
        <v>2065.5715901042377</v>
      </c>
    </row>
    <row r="65" spans="1:13" ht="12.75">
      <c r="A65" s="7">
        <f t="shared" si="7"/>
        <v>40390</v>
      </c>
      <c r="B65" s="23">
        <f t="shared" si="26"/>
        <v>55</v>
      </c>
      <c r="C65" s="30">
        <f t="shared" si="27"/>
        <v>227.1751863850151</v>
      </c>
      <c r="D65" s="30"/>
      <c r="E65" s="30">
        <f t="shared" si="28"/>
        <v>197.68032748410042</v>
      </c>
      <c r="F65" s="29">
        <f t="shared" si="8"/>
        <v>29.494858900914693</v>
      </c>
      <c r="G65" s="30">
        <f t="shared" si="29"/>
        <v>23692.144439191135</v>
      </c>
      <c r="H65" s="25">
        <f t="shared" si="22"/>
        <v>49.420081871025104</v>
      </c>
      <c r="I65" s="33">
        <f>IF(G64&lt;0.5,"",IF(OR(YEAR(A65)&lt;YEAR(A66),G65&lt;0.5),SUM($H$11:H65)-SUM($I$11:I64),""))</f>
      </c>
      <c r="J65" s="35">
        <f t="shared" si="30"/>
        <v>11186.779690366951</v>
      </c>
      <c r="K65" s="35">
        <f t="shared" si="31"/>
        <v>1307.855560808873</v>
      </c>
      <c r="L65" s="33">
        <f t="shared" si="9"/>
        <v>10662.14454564345</v>
      </c>
      <c r="M65" s="33">
        <f t="shared" si="32"/>
        <v>2065.5715901042377</v>
      </c>
    </row>
    <row r="66" spans="1:13" ht="12.75">
      <c r="A66" s="7">
        <f t="shared" si="7"/>
        <v>40421</v>
      </c>
      <c r="B66" s="23">
        <f t="shared" si="26"/>
        <v>56</v>
      </c>
      <c r="C66" s="30">
        <f t="shared" si="27"/>
        <v>227.1751863850151</v>
      </c>
      <c r="D66" s="30"/>
      <c r="E66" s="30">
        <f t="shared" si="28"/>
        <v>197.43453699325946</v>
      </c>
      <c r="F66" s="29">
        <f t="shared" si="8"/>
        <v>29.740649391755653</v>
      </c>
      <c r="G66" s="30">
        <f t="shared" si="29"/>
        <v>23662.40378979938</v>
      </c>
      <c r="H66" s="25">
        <f t="shared" si="22"/>
        <v>49.358634248314864</v>
      </c>
      <c r="I66" s="33">
        <f>IF(G65&lt;0.5,"",IF(OR(YEAR(A66)&lt;YEAR(A67),G66&lt;0.5),SUM($H$11:H66)-SUM($I$11:I65),""))</f>
      </c>
      <c r="J66" s="35">
        <f t="shared" si="30"/>
        <v>11384.214227360211</v>
      </c>
      <c r="K66" s="35">
        <f t="shared" si="31"/>
        <v>1337.5962102006285</v>
      </c>
      <c r="L66" s="33">
        <f t="shared" si="9"/>
        <v>10826.167090666246</v>
      </c>
      <c r="M66" s="33">
        <f t="shared" si="32"/>
        <v>2065.5715901042377</v>
      </c>
    </row>
    <row r="67" spans="1:13" ht="12.75">
      <c r="A67" s="7">
        <f t="shared" si="7"/>
        <v>40451</v>
      </c>
      <c r="B67" s="23">
        <f t="shared" si="26"/>
        <v>57</v>
      </c>
      <c r="C67" s="30">
        <f t="shared" si="27"/>
        <v>227.1751863850151</v>
      </c>
      <c r="D67" s="30"/>
      <c r="E67" s="30">
        <f t="shared" si="28"/>
        <v>197.18669824832816</v>
      </c>
      <c r="F67" s="29">
        <f t="shared" si="8"/>
        <v>29.988488136686954</v>
      </c>
      <c r="G67" s="30">
        <f t="shared" si="29"/>
        <v>23632.415301662695</v>
      </c>
      <c r="H67" s="25">
        <f t="shared" si="22"/>
        <v>49.29667456208204</v>
      </c>
      <c r="I67" s="33">
        <f>IF(G66&lt;0.5,"",IF(OR(YEAR(A67)&lt;YEAR(A68),G67&lt;0.5),SUM($H$11:H67)-SUM($I$11:I66),""))</f>
      </c>
      <c r="J67" s="35">
        <f t="shared" si="30"/>
        <v>11581.40092560854</v>
      </c>
      <c r="K67" s="35">
        <f t="shared" si="31"/>
        <v>1367.5846983373156</v>
      </c>
      <c r="L67" s="33">
        <f t="shared" si="9"/>
        <v>10989.238386463556</v>
      </c>
      <c r="M67" s="33">
        <f t="shared" si="32"/>
        <v>2065.5715901042377</v>
      </c>
    </row>
    <row r="68" spans="1:13" ht="12.75">
      <c r="A68" s="7">
        <f t="shared" si="7"/>
        <v>40482</v>
      </c>
      <c r="B68" s="23">
        <f t="shared" si="26"/>
        <v>58</v>
      </c>
      <c r="C68" s="30">
        <f t="shared" si="27"/>
        <v>227.1751863850151</v>
      </c>
      <c r="D68" s="30"/>
      <c r="E68" s="30">
        <f t="shared" si="28"/>
        <v>196.93679418052247</v>
      </c>
      <c r="F68" s="29">
        <f t="shared" si="8"/>
        <v>30.23839220449264</v>
      </c>
      <c r="G68" s="30">
        <f t="shared" si="29"/>
        <v>23602.1769094582</v>
      </c>
      <c r="H68" s="25">
        <f t="shared" si="22"/>
        <v>49.23419854513062</v>
      </c>
      <c r="I68" s="33">
        <f>IF(G67&lt;0.5,"",IF(OR(YEAR(A68)&lt;YEAR(A69),G68&lt;0.5),SUM($H$11:H68)-SUM($I$11:I67),""))</f>
      </c>
      <c r="J68" s="35">
        <f t="shared" si="30"/>
        <v>11778.337719789062</v>
      </c>
      <c r="K68" s="35">
        <f t="shared" si="31"/>
        <v>1397.8230905418081</v>
      </c>
      <c r="L68" s="33">
        <f t="shared" si="9"/>
        <v>11151.363949808025</v>
      </c>
      <c r="M68" s="33">
        <f t="shared" si="32"/>
        <v>2065.5715901042377</v>
      </c>
    </row>
    <row r="69" spans="1:13" ht="12.75">
      <c r="A69" s="7">
        <f t="shared" si="7"/>
        <v>40512</v>
      </c>
      <c r="B69" s="23">
        <f t="shared" si="26"/>
        <v>59</v>
      </c>
      <c r="C69" s="30">
        <f t="shared" si="27"/>
        <v>227.1751863850151</v>
      </c>
      <c r="D69" s="30"/>
      <c r="E69" s="30">
        <f t="shared" si="28"/>
        <v>196.68480757881835</v>
      </c>
      <c r="F69" s="29">
        <f t="shared" si="8"/>
        <v>30.49037880619676</v>
      </c>
      <c r="G69" s="30">
        <f t="shared" si="29"/>
        <v>23571.686530652005</v>
      </c>
      <c r="H69" s="25">
        <f t="shared" si="22"/>
        <v>49.17120189470459</v>
      </c>
      <c r="I69" s="33">
        <f>IF(G68&lt;0.5,"",IF(OR(YEAR(A69)&lt;YEAR(A70),G69&lt;0.5),SUM($H$11:H69)-SUM($I$11:I68),""))</f>
      </c>
      <c r="J69" s="35">
        <f t="shared" si="30"/>
        <v>11975.02252736788</v>
      </c>
      <c r="K69" s="35">
        <f t="shared" si="31"/>
        <v>1428.313469348005</v>
      </c>
      <c r="L69" s="33">
        <f t="shared" si="9"/>
        <v>11312.549265477752</v>
      </c>
      <c r="M69" s="33">
        <f t="shared" si="32"/>
        <v>2065.5715901042377</v>
      </c>
    </row>
    <row r="70" spans="1:13" ht="12.75">
      <c r="A70" s="7">
        <f t="shared" si="7"/>
        <v>40543</v>
      </c>
      <c r="B70" s="23">
        <f t="shared" si="26"/>
        <v>60</v>
      </c>
      <c r="C70" s="30">
        <f t="shared" si="27"/>
        <v>227.1751863850151</v>
      </c>
      <c r="D70" s="30"/>
      <c r="E70" s="30">
        <f t="shared" si="28"/>
        <v>196.43072108876672</v>
      </c>
      <c r="F70" s="29">
        <f t="shared" si="8"/>
        <v>30.744465296248393</v>
      </c>
      <c r="G70" s="30">
        <f t="shared" si="29"/>
        <v>23540.942065355757</v>
      </c>
      <c r="H70" s="25">
        <f t="shared" si="22"/>
        <v>49.10768027219168</v>
      </c>
      <c r="I70" s="33">
        <f>IF(G69&lt;0.5,"",IF(OR(YEAR(A70)&lt;YEAR(A71),G70&lt;0.5),SUM($H$11:H70)-SUM($I$11:I69),""))</f>
        <v>593.3712159798133</v>
      </c>
      <c r="J70" s="35">
        <f t="shared" si="30"/>
        <v>12171.453248456648</v>
      </c>
      <c r="K70" s="35">
        <f t="shared" si="31"/>
        <v>1459.0579346442532</v>
      </c>
      <c r="L70" s="33">
        <f t="shared" si="9"/>
        <v>11472.799786441856</v>
      </c>
      <c r="M70" s="33">
        <f t="shared" si="32"/>
        <v>2484.1386352071054</v>
      </c>
    </row>
    <row r="71" spans="1:13" ht="12.75">
      <c r="A71" s="7">
        <f t="shared" si="7"/>
        <v>40574</v>
      </c>
      <c r="B71" s="23">
        <f t="shared" si="26"/>
        <v>61</v>
      </c>
      <c r="C71" s="30">
        <f t="shared" si="27"/>
        <v>227.1751863850151</v>
      </c>
      <c r="D71" s="30"/>
      <c r="E71" s="30">
        <f t="shared" si="28"/>
        <v>196.17451721129797</v>
      </c>
      <c r="F71" s="29">
        <f t="shared" si="8"/>
        <v>31.000669173717142</v>
      </c>
      <c r="G71" s="30">
        <f t="shared" si="29"/>
        <v>23509.94139618204</v>
      </c>
      <c r="H71" s="25">
        <f t="shared" si="22"/>
        <v>49.04362930282449</v>
      </c>
      <c r="I71" s="33">
        <f>IF(G70&lt;0.5,"",IF(OR(YEAR(A71)&lt;YEAR(A72),G71&lt;0.5),SUM($H$11:H71)-SUM($I$11:I70),""))</f>
      </c>
      <c r="J71" s="35">
        <f t="shared" si="30"/>
        <v>12367.627765667947</v>
      </c>
      <c r="K71" s="35">
        <f t="shared" si="31"/>
        <v>1490.0586038179704</v>
      </c>
      <c r="L71" s="33">
        <f t="shared" si="9"/>
        <v>11632.120934044942</v>
      </c>
      <c r="M71" s="33">
        <f t="shared" si="32"/>
        <v>2484.1386352071054</v>
      </c>
    </row>
    <row r="72" spans="1:13" ht="12.75">
      <c r="A72" s="7">
        <f t="shared" si="7"/>
        <v>40602</v>
      </c>
      <c r="B72" s="23">
        <f t="shared" si="26"/>
        <v>62</v>
      </c>
      <c r="C72" s="30">
        <f t="shared" si="27"/>
        <v>227.1751863850151</v>
      </c>
      <c r="D72" s="30"/>
      <c r="E72" s="30">
        <f t="shared" si="28"/>
        <v>195.916178301517</v>
      </c>
      <c r="F72" s="29">
        <f t="shared" si="8"/>
        <v>31.259008083498117</v>
      </c>
      <c r="G72" s="30">
        <f t="shared" si="29"/>
        <v>23478.68238809854</v>
      </c>
      <c r="H72" s="25">
        <f t="shared" si="22"/>
        <v>48.97904457537925</v>
      </c>
      <c r="I72" s="33">
        <f>IF(G71&lt;0.5,"",IF(OR(YEAR(A72)&lt;YEAR(A73),G72&lt;0.5),SUM($H$11:H72)-SUM($I$11:I71),""))</f>
      </c>
      <c r="J72" s="35">
        <f t="shared" si="30"/>
        <v>12563.543943969464</v>
      </c>
      <c r="K72" s="35">
        <f t="shared" si="31"/>
        <v>1521.3176119014686</v>
      </c>
      <c r="L72" s="33">
        <f t="shared" si="9"/>
        <v>11790.518098190512</v>
      </c>
      <c r="M72" s="33">
        <f t="shared" si="32"/>
        <v>2484.1386352071054</v>
      </c>
    </row>
    <row r="73" spans="1:13" ht="12.75">
      <c r="A73" s="7">
        <f t="shared" si="7"/>
        <v>40633</v>
      </c>
      <c r="B73" s="23">
        <f t="shared" si="26"/>
        <v>63</v>
      </c>
      <c r="C73" s="30">
        <f t="shared" si="27"/>
        <v>227.1751863850151</v>
      </c>
      <c r="D73" s="30"/>
      <c r="E73" s="30">
        <f t="shared" si="28"/>
        <v>195.65568656748783</v>
      </c>
      <c r="F73" s="29">
        <f t="shared" si="8"/>
        <v>31.519499817527276</v>
      </c>
      <c r="G73" s="30">
        <f t="shared" si="29"/>
        <v>23447.16288828101</v>
      </c>
      <c r="H73" s="25">
        <f t="shared" si="22"/>
        <v>48.91392164187196</v>
      </c>
      <c r="I73" s="33">
        <f>IF(G72&lt;0.5,"",IF(OR(YEAR(A73)&lt;YEAR(A74),G73&lt;0.5),SUM($H$11:H73)-SUM($I$11:I72),""))</f>
      </c>
      <c r="J73" s="35">
        <f t="shared" si="30"/>
        <v>12759.199630536952</v>
      </c>
      <c r="K73" s="35">
        <f t="shared" si="31"/>
        <v>1552.8371117189959</v>
      </c>
      <c r="L73" s="33">
        <f t="shared" si="9"/>
        <v>11947.996637523307</v>
      </c>
      <c r="M73" s="33">
        <f t="shared" si="32"/>
        <v>2484.1386352071054</v>
      </c>
    </row>
    <row r="74" spans="1:13" ht="12.75">
      <c r="A74" s="7">
        <f t="shared" si="7"/>
        <v>40663</v>
      </c>
      <c r="B74" s="23">
        <f t="shared" si="26"/>
        <v>64</v>
      </c>
      <c r="C74" s="30">
        <f t="shared" si="27"/>
        <v>227.1751863850151</v>
      </c>
      <c r="D74" s="30"/>
      <c r="E74" s="30">
        <f t="shared" si="28"/>
        <v>195.39302406900842</v>
      </c>
      <c r="F74" s="29">
        <f t="shared" si="8"/>
        <v>31.78216231600669</v>
      </c>
      <c r="G74" s="30">
        <f t="shared" si="29"/>
        <v>23415.380725965006</v>
      </c>
      <c r="H74" s="25">
        <f t="shared" si="22"/>
        <v>48.848256017252105</v>
      </c>
      <c r="I74" s="33">
        <f>IF(G73&lt;0.5,"",IF(OR(YEAR(A74)&lt;YEAR(A75),G74&lt;0.5),SUM($H$11:H74)-SUM($I$11:I73),""))</f>
      </c>
      <c r="J74" s="35">
        <f t="shared" si="30"/>
        <v>12954.59265460596</v>
      </c>
      <c r="K74" s="35">
        <f t="shared" si="31"/>
        <v>1584.6192740350025</v>
      </c>
      <c r="L74" s="33">
        <f t="shared" si="9"/>
        <v>12104.561879610594</v>
      </c>
      <c r="M74" s="33">
        <f t="shared" si="32"/>
        <v>2484.1386352071054</v>
      </c>
    </row>
    <row r="75" spans="1:13" ht="12.75">
      <c r="A75" s="7">
        <f t="shared" si="7"/>
        <v>40694</v>
      </c>
      <c r="B75" s="23">
        <f t="shared" si="26"/>
        <v>65</v>
      </c>
      <c r="C75" s="30">
        <f t="shared" si="27"/>
        <v>227.1751863850151</v>
      </c>
      <c r="D75" s="30"/>
      <c r="E75" s="30">
        <f t="shared" si="28"/>
        <v>195.12817271637505</v>
      </c>
      <c r="F75" s="29">
        <f t="shared" si="8"/>
        <v>32.04701366864006</v>
      </c>
      <c r="G75" s="30">
        <f t="shared" si="29"/>
        <v>23383.333712296364</v>
      </c>
      <c r="H75" s="25">
        <f t="shared" si="22"/>
        <v>48.78204317909376</v>
      </c>
      <c r="I75" s="33">
        <f>IF(G74&lt;0.5,"",IF(OR(YEAR(A75)&lt;YEAR(A76),G75&lt;0.5),SUM($H$11:H75)-SUM($I$11:I74),""))</f>
      </c>
      <c r="J75" s="35">
        <f t="shared" si="30"/>
        <v>13149.720827322335</v>
      </c>
      <c r="K75" s="35">
        <f t="shared" si="31"/>
        <v>1616.6662877036426</v>
      </c>
      <c r="L75" s="33">
        <f t="shared" si="9"/>
        <v>12260.219121122394</v>
      </c>
      <c r="M75" s="33">
        <f t="shared" si="32"/>
        <v>2484.1386352071054</v>
      </c>
    </row>
    <row r="76" spans="1:13" ht="12.75">
      <c r="A76" s="7">
        <f t="shared" si="7"/>
        <v>40724</v>
      </c>
      <c r="B76" s="23">
        <f aca="true" t="shared" si="33" ref="B76:B91">B75+1</f>
        <v>66</v>
      </c>
      <c r="C76" s="30">
        <f aca="true" t="shared" si="34" ref="C76:C91">IF(G75&gt;0.5,C75,"")</f>
        <v>227.1751863850151</v>
      </c>
      <c r="D76" s="30"/>
      <c r="E76" s="30">
        <f aca="true" t="shared" si="35" ref="E76:E91">IF(G75&gt;0.5,$J$3*G75,"")</f>
        <v>194.86111426913635</v>
      </c>
      <c r="F76" s="29">
        <f t="shared" si="8"/>
        <v>32.31407211587876</v>
      </c>
      <c r="G76" s="30">
        <f aca="true" t="shared" si="36" ref="G76:G91">IF(G75&gt;0.5,G75-F76,0)</f>
        <v>23351.019640180486</v>
      </c>
      <c r="H76" s="25">
        <f aca="true" t="shared" si="37" ref="H76:H107">IF(G75&gt;0.5,E76*$J$5,"")</f>
        <v>48.71527856728409</v>
      </c>
      <c r="I76" s="33">
        <f>IF(G75&lt;0.5,"",IF(OR(YEAR(A76)&lt;YEAR(A77),G76&lt;0.5),SUM($H$11:H76)-SUM($I$11:I75),""))</f>
      </c>
      <c r="J76" s="35">
        <f aca="true" t="shared" si="38" ref="J76:J91">IF(G75&gt;0.5,J75+E76,"")</f>
        <v>13344.581941591472</v>
      </c>
      <c r="K76" s="35">
        <f aca="true" t="shared" si="39" ref="K76:K91">IF(G75&gt;0.5,K75+F76,"")</f>
        <v>1648.9803598195215</v>
      </c>
      <c r="L76" s="33">
        <f t="shared" si="9"/>
        <v>12414.97362801068</v>
      </c>
      <c r="M76" s="33">
        <f t="shared" si="32"/>
        <v>2484.1386352071054</v>
      </c>
    </row>
    <row r="77" spans="1:13" ht="12.75">
      <c r="A77" s="7">
        <f aca="true" t="shared" si="40" ref="A77:A140">IF($C$6&lt;27,DATE((YEAR(A76)-1900),MONTH(A76)+1,$C$6),DATE((YEAR(A76)-1900),MONTH(A76)+2,1)-1)</f>
        <v>40755</v>
      </c>
      <c r="B77" s="23">
        <f t="shared" si="33"/>
        <v>67</v>
      </c>
      <c r="C77" s="30">
        <f t="shared" si="34"/>
        <v>227.1751863850151</v>
      </c>
      <c r="D77" s="30"/>
      <c r="E77" s="30">
        <f t="shared" si="35"/>
        <v>194.59183033483737</v>
      </c>
      <c r="F77" s="29">
        <f aca="true" t="shared" si="41" ref="F77:F140">IF(G76&gt;0.5,C77-E77+D77,"")</f>
        <v>32.58335605017774</v>
      </c>
      <c r="G77" s="30">
        <f t="shared" si="36"/>
        <v>23318.43628413031</v>
      </c>
      <c r="H77" s="25">
        <f t="shared" si="37"/>
        <v>48.64795758370934</v>
      </c>
      <c r="I77" s="33">
        <f>IF(G76&lt;0.5,"",IF(OR(YEAR(A77)&lt;YEAR(A78),G77&lt;0.5),SUM($H$11:H77)-SUM($I$11:I76),""))</f>
      </c>
      <c r="J77" s="35">
        <f t="shared" si="38"/>
        <v>13539.17377192631</v>
      </c>
      <c r="K77" s="35">
        <f t="shared" si="39"/>
        <v>1681.5637158696993</v>
      </c>
      <c r="L77" s="33">
        <f aca="true" t="shared" si="42" ref="L77:L140">IF(G76&gt;0.5,(C77+D77)/(1+$J$4)^B77+L76,"")</f>
        <v>12568.830635687518</v>
      </c>
      <c r="M77" s="33">
        <f aca="true" t="shared" si="43" ref="M77:M92">IF(G76&lt;0.5,"",IF(I77="",M76,I77/(1+$J$4)^B77+M76))</f>
        <v>2484.1386352071054</v>
      </c>
    </row>
    <row r="78" spans="1:13" ht="12.75">
      <c r="A78" s="7">
        <f t="shared" si="40"/>
        <v>40786</v>
      </c>
      <c r="B78" s="23">
        <f t="shared" si="33"/>
        <v>68</v>
      </c>
      <c r="C78" s="30">
        <f t="shared" si="34"/>
        <v>227.1751863850151</v>
      </c>
      <c r="D78" s="30"/>
      <c r="E78" s="30">
        <f t="shared" si="35"/>
        <v>194.32030236775256</v>
      </c>
      <c r="F78" s="29">
        <f t="shared" si="41"/>
        <v>32.85488401726255</v>
      </c>
      <c r="G78" s="30">
        <f t="shared" si="36"/>
        <v>23285.581400113046</v>
      </c>
      <c r="H78" s="25">
        <f t="shared" si="37"/>
        <v>48.58007559193814</v>
      </c>
      <c r="I78" s="33">
        <f>IF(G77&lt;0.5,"",IF(OR(YEAR(A78)&lt;YEAR(A79),G78&lt;0.5),SUM($H$11:H78)-SUM($I$11:I77),""))</f>
      </c>
      <c r="J78" s="35">
        <f t="shared" si="38"/>
        <v>13733.494074294062</v>
      </c>
      <c r="K78" s="35">
        <f t="shared" si="39"/>
        <v>1714.4185998869618</v>
      </c>
      <c r="L78" s="33">
        <f t="shared" si="42"/>
        <v>12721.795349202186</v>
      </c>
      <c r="M78" s="33">
        <f t="shared" si="43"/>
        <v>2484.1386352071054</v>
      </c>
    </row>
    <row r="79" spans="1:13" ht="12.75">
      <c r="A79" s="7">
        <f t="shared" si="40"/>
        <v>40816</v>
      </c>
      <c r="B79" s="23">
        <f t="shared" si="33"/>
        <v>69</v>
      </c>
      <c r="C79" s="30">
        <f t="shared" si="34"/>
        <v>227.1751863850151</v>
      </c>
      <c r="D79" s="30"/>
      <c r="E79" s="30">
        <f t="shared" si="35"/>
        <v>194.0465116676087</v>
      </c>
      <c r="F79" s="29">
        <f t="shared" si="41"/>
        <v>33.1286747174064</v>
      </c>
      <c r="G79" s="30">
        <f t="shared" si="36"/>
        <v>23252.45272539564</v>
      </c>
      <c r="H79" s="25">
        <f t="shared" si="37"/>
        <v>48.51162791690218</v>
      </c>
      <c r="I79" s="33">
        <f>IF(G78&lt;0.5,"",IF(OR(YEAR(A79)&lt;YEAR(A80),G79&lt;0.5),SUM($H$11:H79)-SUM($I$11:I78),""))</f>
      </c>
      <c r="J79" s="35">
        <f t="shared" si="38"/>
        <v>13927.540585961671</v>
      </c>
      <c r="K79" s="35">
        <f t="shared" si="39"/>
        <v>1747.5472746043683</v>
      </c>
      <c r="L79" s="33">
        <f t="shared" si="42"/>
        <v>12873.872943417267</v>
      </c>
      <c r="M79" s="33">
        <f t="shared" si="43"/>
        <v>2484.1386352071054</v>
      </c>
    </row>
    <row r="80" spans="1:13" ht="12.75">
      <c r="A80" s="7">
        <f t="shared" si="40"/>
        <v>40847</v>
      </c>
      <c r="B80" s="23">
        <f t="shared" si="33"/>
        <v>70</v>
      </c>
      <c r="C80" s="30">
        <f t="shared" si="34"/>
        <v>227.1751863850151</v>
      </c>
      <c r="D80" s="30"/>
      <c r="E80" s="30">
        <f t="shared" si="35"/>
        <v>193.770439378297</v>
      </c>
      <c r="F80" s="29">
        <f t="shared" si="41"/>
        <v>33.40474700671811</v>
      </c>
      <c r="G80" s="30">
        <f t="shared" si="36"/>
        <v>23219.04797838892</v>
      </c>
      <c r="H80" s="25">
        <f t="shared" si="37"/>
        <v>48.44260984457425</v>
      </c>
      <c r="I80" s="33">
        <f>IF(G79&lt;0.5,"",IF(OR(YEAR(A80)&lt;YEAR(A81),G80&lt;0.5),SUM($H$11:H80)-SUM($I$11:I79),""))</f>
      </c>
      <c r="J80" s="35">
        <f t="shared" si="38"/>
        <v>14121.311025339968</v>
      </c>
      <c r="K80" s="35">
        <f t="shared" si="39"/>
        <v>1780.9520216110864</v>
      </c>
      <c r="L80" s="33">
        <f t="shared" si="42"/>
        <v>13025.068563183711</v>
      </c>
      <c r="M80" s="33">
        <f t="shared" si="43"/>
        <v>2484.1386352071054</v>
      </c>
    </row>
    <row r="81" spans="1:13" ht="12.75">
      <c r="A81" s="7">
        <f t="shared" si="40"/>
        <v>40877</v>
      </c>
      <c r="B81" s="23">
        <f t="shared" si="33"/>
        <v>71</v>
      </c>
      <c r="C81" s="30">
        <f t="shared" si="34"/>
        <v>227.1751863850151</v>
      </c>
      <c r="D81" s="30"/>
      <c r="E81" s="30">
        <f t="shared" si="35"/>
        <v>193.49206648657434</v>
      </c>
      <c r="F81" s="29">
        <f t="shared" si="41"/>
        <v>33.683119898440765</v>
      </c>
      <c r="G81" s="30">
        <f t="shared" si="36"/>
        <v>23185.36485849048</v>
      </c>
      <c r="H81" s="25">
        <f t="shared" si="37"/>
        <v>48.373016621643586</v>
      </c>
      <c r="I81" s="33">
        <f>IF(G80&lt;0.5,"",IF(OR(YEAR(A81)&lt;YEAR(A82),G81&lt;0.5),SUM($H$11:H81)-SUM($I$11:I80),""))</f>
      </c>
      <c r="J81" s="35">
        <f t="shared" si="38"/>
        <v>14314.803091826543</v>
      </c>
      <c r="K81" s="35">
        <f t="shared" si="39"/>
        <v>1814.635141509527</v>
      </c>
      <c r="L81" s="33">
        <f t="shared" si="42"/>
        <v>13175.38732351489</v>
      </c>
      <c r="M81" s="33">
        <f t="shared" si="43"/>
        <v>2484.1386352071054</v>
      </c>
    </row>
    <row r="82" spans="1:13" ht="12.75">
      <c r="A82" s="7">
        <f t="shared" si="40"/>
        <v>40908</v>
      </c>
      <c r="B82" s="23">
        <f t="shared" si="33"/>
        <v>72</v>
      </c>
      <c r="C82" s="30">
        <f t="shared" si="34"/>
        <v>227.1751863850151</v>
      </c>
      <c r="D82" s="30"/>
      <c r="E82" s="30">
        <f t="shared" si="35"/>
        <v>193.211373820754</v>
      </c>
      <c r="F82" s="29">
        <f t="shared" si="41"/>
        <v>33.963812564261104</v>
      </c>
      <c r="G82" s="30">
        <f t="shared" si="36"/>
        <v>23151.40104592622</v>
      </c>
      <c r="H82" s="25">
        <f t="shared" si="37"/>
        <v>48.3028434551885</v>
      </c>
      <c r="I82" s="33">
        <f>IF(G81&lt;0.5,"",IF(OR(YEAR(A82)&lt;YEAR(A83),G82&lt;0.5),SUM($H$11:H82)-SUM($I$11:I81),""))</f>
        <v>584.1403042976622</v>
      </c>
      <c r="J82" s="35">
        <f t="shared" si="38"/>
        <v>14508.014465647297</v>
      </c>
      <c r="K82" s="35">
        <f t="shared" si="39"/>
        <v>1848.5989540737883</v>
      </c>
      <c r="L82" s="33">
        <f t="shared" si="42"/>
        <v>13324.834309759639</v>
      </c>
      <c r="M82" s="33">
        <f t="shared" si="43"/>
        <v>2868.414794106893</v>
      </c>
    </row>
    <row r="83" spans="1:13" ht="12.75">
      <c r="A83" s="7">
        <f t="shared" si="40"/>
        <v>40939</v>
      </c>
      <c r="B83" s="23">
        <f t="shared" si="33"/>
        <v>73</v>
      </c>
      <c r="C83" s="30">
        <f t="shared" si="34"/>
        <v>227.1751863850151</v>
      </c>
      <c r="D83" s="30"/>
      <c r="E83" s="30">
        <f t="shared" si="35"/>
        <v>192.92834204938518</v>
      </c>
      <c r="F83" s="29">
        <f t="shared" si="41"/>
        <v>34.24684433562993</v>
      </c>
      <c r="G83" s="30">
        <f t="shared" si="36"/>
        <v>23117.15420159059</v>
      </c>
      <c r="H83" s="25">
        <f t="shared" si="37"/>
        <v>48.232085512346295</v>
      </c>
      <c r="I83" s="33">
        <f>IF(G82&lt;0.5,"",IF(OR(YEAR(A83)&lt;YEAR(A84),G83&lt;0.5),SUM($H$11:H83)-SUM($I$11:I82),""))</f>
      </c>
      <c r="J83" s="35">
        <f t="shared" si="38"/>
        <v>14700.942807696681</v>
      </c>
      <c r="K83" s="35">
        <f t="shared" si="39"/>
        <v>1882.8457984094182</v>
      </c>
      <c r="L83" s="33">
        <f t="shared" si="42"/>
        <v>13473.414577774303</v>
      </c>
      <c r="M83" s="33">
        <f t="shared" si="43"/>
        <v>2868.414794106893</v>
      </c>
    </row>
    <row r="84" spans="1:13" ht="12.75">
      <c r="A84" s="7">
        <f t="shared" si="40"/>
        <v>40968</v>
      </c>
      <c r="B84" s="23">
        <f t="shared" si="33"/>
        <v>74</v>
      </c>
      <c r="C84" s="30">
        <f t="shared" si="34"/>
        <v>227.1751863850151</v>
      </c>
      <c r="D84" s="30"/>
      <c r="E84" s="30">
        <f t="shared" si="35"/>
        <v>192.6429516799216</v>
      </c>
      <c r="F84" s="29">
        <f t="shared" si="41"/>
        <v>34.532234705093515</v>
      </c>
      <c r="G84" s="30">
        <f t="shared" si="36"/>
        <v>23082.621966885497</v>
      </c>
      <c r="H84" s="25">
        <f t="shared" si="37"/>
        <v>48.1607379199804</v>
      </c>
      <c r="I84" s="33">
        <f>IF(G83&lt;0.5,"",IF(OR(YEAR(A84)&lt;YEAR(A85),G84&lt;0.5),SUM($H$11:H84)-SUM($I$11:I83),""))</f>
      </c>
      <c r="J84" s="35">
        <f t="shared" si="38"/>
        <v>14893.585759376603</v>
      </c>
      <c r="K84" s="35">
        <f t="shared" si="39"/>
        <v>1917.3780331145117</v>
      </c>
      <c r="L84" s="33">
        <f t="shared" si="42"/>
        <v>13621.133154093772</v>
      </c>
      <c r="M84" s="33">
        <f t="shared" si="43"/>
        <v>2868.414794106893</v>
      </c>
    </row>
    <row r="85" spans="1:13" ht="12.75">
      <c r="A85" s="7">
        <f t="shared" si="40"/>
        <v>40999</v>
      </c>
      <c r="B85" s="23">
        <f t="shared" si="33"/>
        <v>75</v>
      </c>
      <c r="C85" s="30">
        <f t="shared" si="34"/>
        <v>227.1751863850151</v>
      </c>
      <c r="D85" s="30"/>
      <c r="E85" s="30">
        <f t="shared" si="35"/>
        <v>192.35518305737915</v>
      </c>
      <c r="F85" s="29">
        <f t="shared" si="41"/>
        <v>34.82000332763596</v>
      </c>
      <c r="G85" s="30">
        <f t="shared" si="36"/>
        <v>23047.80196355786</v>
      </c>
      <c r="H85" s="25">
        <f t="shared" si="37"/>
        <v>48.08879576434479</v>
      </c>
      <c r="I85" s="33">
        <f>IF(G84&lt;0.5,"",IF(OR(YEAR(A85)&lt;YEAR(A86),G85&lt;0.5),SUM($H$11:H85)-SUM($I$11:I84),""))</f>
      </c>
      <c r="J85" s="35">
        <f t="shared" si="38"/>
        <v>15085.940942433983</v>
      </c>
      <c r="K85" s="35">
        <f t="shared" si="39"/>
        <v>1952.1980364421477</v>
      </c>
      <c r="L85" s="33">
        <f t="shared" si="42"/>
        <v>13767.995036101527</v>
      </c>
      <c r="M85" s="33">
        <f t="shared" si="43"/>
        <v>2868.414794106893</v>
      </c>
    </row>
    <row r="86" spans="1:13" ht="12.75">
      <c r="A86" s="7">
        <f t="shared" si="40"/>
        <v>41029</v>
      </c>
      <c r="B86" s="23">
        <f t="shared" si="33"/>
        <v>76</v>
      </c>
      <c r="C86" s="30">
        <f t="shared" si="34"/>
        <v>227.1751863850151</v>
      </c>
      <c r="D86" s="30"/>
      <c r="E86" s="30">
        <f t="shared" si="35"/>
        <v>192.06501636298216</v>
      </c>
      <c r="F86" s="29">
        <f t="shared" si="41"/>
        <v>35.110170022032946</v>
      </c>
      <c r="G86" s="30">
        <f t="shared" si="36"/>
        <v>23012.69179353583</v>
      </c>
      <c r="H86" s="25">
        <f t="shared" si="37"/>
        <v>48.01625409074554</v>
      </c>
      <c r="I86" s="33">
        <f>IF(G85&lt;0.5,"",IF(OR(YEAR(A86)&lt;YEAR(A87),G86&lt;0.5),SUM($H$11:H86)-SUM($I$11:I85),""))</f>
      </c>
      <c r="J86" s="35">
        <f t="shared" si="38"/>
        <v>15278.005958796964</v>
      </c>
      <c r="K86" s="35">
        <f t="shared" si="39"/>
        <v>1987.3082064641806</v>
      </c>
      <c r="L86" s="33">
        <f t="shared" si="42"/>
        <v>13914.005192198716</v>
      </c>
      <c r="M86" s="33">
        <f t="shared" si="43"/>
        <v>2868.414794106893</v>
      </c>
    </row>
    <row r="87" spans="1:13" ht="12.75">
      <c r="A87" s="7">
        <f t="shared" si="40"/>
        <v>41060</v>
      </c>
      <c r="B87" s="23">
        <f t="shared" si="33"/>
        <v>77</v>
      </c>
      <c r="C87" s="30">
        <f t="shared" si="34"/>
        <v>227.1751863850151</v>
      </c>
      <c r="D87" s="30"/>
      <c r="E87" s="30">
        <f t="shared" si="35"/>
        <v>191.77243161279858</v>
      </c>
      <c r="F87" s="29">
        <f t="shared" si="41"/>
        <v>35.402754772216525</v>
      </c>
      <c r="G87" s="30">
        <f t="shared" si="36"/>
        <v>22977.28903876361</v>
      </c>
      <c r="H87" s="25">
        <f t="shared" si="37"/>
        <v>47.943107903199646</v>
      </c>
      <c r="I87" s="33">
        <f>IF(G86&lt;0.5,"",IF(OR(YEAR(A87)&lt;YEAR(A88),G87&lt;0.5),SUM($H$11:H87)-SUM($I$11:I86),""))</f>
      </c>
      <c r="J87" s="35">
        <f t="shared" si="38"/>
        <v>15469.778390409763</v>
      </c>
      <c r="K87" s="35">
        <f t="shared" si="39"/>
        <v>2022.710961236397</v>
      </c>
      <c r="L87" s="33">
        <f t="shared" si="42"/>
        <v>14059.168561972227</v>
      </c>
      <c r="M87" s="33">
        <f t="shared" si="43"/>
        <v>2868.414794106893</v>
      </c>
    </row>
    <row r="88" spans="1:13" ht="12.75">
      <c r="A88" s="7">
        <f t="shared" si="40"/>
        <v>41090</v>
      </c>
      <c r="B88" s="23">
        <f t="shared" si="33"/>
        <v>78</v>
      </c>
      <c r="C88" s="30">
        <f t="shared" si="34"/>
        <v>227.1751863850151</v>
      </c>
      <c r="D88" s="30"/>
      <c r="E88" s="30">
        <f t="shared" si="35"/>
        <v>191.47740865636342</v>
      </c>
      <c r="F88" s="29">
        <f t="shared" si="41"/>
        <v>35.69777772865169</v>
      </c>
      <c r="G88" s="30">
        <f t="shared" si="36"/>
        <v>22941.59126103496</v>
      </c>
      <c r="H88" s="25">
        <f t="shared" si="37"/>
        <v>47.869352164090856</v>
      </c>
      <c r="I88" s="33">
        <f>IF(G87&lt;0.5,"",IF(OR(YEAR(A88)&lt;YEAR(A89),G88&lt;0.5),SUM($H$11:H88)-SUM($I$11:I87),""))</f>
      </c>
      <c r="J88" s="35">
        <f t="shared" si="38"/>
        <v>15661.255799066126</v>
      </c>
      <c r="K88" s="35">
        <f t="shared" si="39"/>
        <v>2058.4087389650485</v>
      </c>
      <c r="L88" s="33">
        <f t="shared" si="42"/>
        <v>14203.490056361798</v>
      </c>
      <c r="M88" s="33">
        <f t="shared" si="43"/>
        <v>2868.414794106893</v>
      </c>
    </row>
    <row r="89" spans="1:13" ht="12.75">
      <c r="A89" s="7">
        <f t="shared" si="40"/>
        <v>41121</v>
      </c>
      <c r="B89" s="23">
        <f t="shared" si="33"/>
        <v>79</v>
      </c>
      <c r="C89" s="30">
        <f t="shared" si="34"/>
        <v>227.1751863850151</v>
      </c>
      <c r="D89" s="30"/>
      <c r="E89" s="30">
        <f t="shared" si="35"/>
        <v>191.1799271752913</v>
      </c>
      <c r="F89" s="29">
        <f t="shared" si="41"/>
        <v>35.9952592097238</v>
      </c>
      <c r="G89" s="30">
        <f t="shared" si="36"/>
        <v>22905.596001825234</v>
      </c>
      <c r="H89" s="25">
        <f t="shared" si="37"/>
        <v>47.79498179382283</v>
      </c>
      <c r="I89" s="33">
        <f>IF(G88&lt;0.5,"",IF(OR(YEAR(A89)&lt;YEAR(A90),G89&lt;0.5),SUM($H$11:H89)-SUM($I$11:I88),""))</f>
      </c>
      <c r="J89" s="35">
        <f t="shared" si="38"/>
        <v>15852.435726241418</v>
      </c>
      <c r="K89" s="35">
        <f t="shared" si="39"/>
        <v>2094.4039981747724</v>
      </c>
      <c r="L89" s="33">
        <f t="shared" si="42"/>
        <v>14346.974557826159</v>
      </c>
      <c r="M89" s="33">
        <f t="shared" si="43"/>
        <v>2868.414794106893</v>
      </c>
    </row>
    <row r="90" spans="1:13" ht="12.75">
      <c r="A90" s="7">
        <f t="shared" si="40"/>
        <v>41152</v>
      </c>
      <c r="B90" s="23">
        <f t="shared" si="33"/>
        <v>80</v>
      </c>
      <c r="C90" s="30">
        <f t="shared" si="34"/>
        <v>227.1751863850151</v>
      </c>
      <c r="D90" s="30"/>
      <c r="E90" s="30">
        <f t="shared" si="35"/>
        <v>190.87996668187694</v>
      </c>
      <c r="F90" s="29">
        <f t="shared" si="41"/>
        <v>36.29521970313817</v>
      </c>
      <c r="G90" s="30">
        <f t="shared" si="36"/>
        <v>22869.300782122096</v>
      </c>
      <c r="H90" s="25">
        <f t="shared" si="37"/>
        <v>47.719991670469234</v>
      </c>
      <c r="I90" s="33">
        <f>IF(G89&lt;0.5,"",IF(OR(YEAR(A90)&lt;YEAR(A91),G90&lt;0.5),SUM($H$11:H90)-SUM($I$11:I89),""))</f>
      </c>
      <c r="J90" s="35">
        <f t="shared" si="38"/>
        <v>16043.315692923296</v>
      </c>
      <c r="K90" s="35">
        <f t="shared" si="39"/>
        <v>2130.6992178779105</v>
      </c>
      <c r="L90" s="33">
        <f t="shared" si="42"/>
        <v>14489.62692050821</v>
      </c>
      <c r="M90" s="33">
        <f t="shared" si="43"/>
        <v>2868.414794106893</v>
      </c>
    </row>
    <row r="91" spans="1:13" ht="12.75">
      <c r="A91" s="7">
        <f t="shared" si="40"/>
        <v>41182</v>
      </c>
      <c r="B91" s="23">
        <f t="shared" si="33"/>
        <v>81</v>
      </c>
      <c r="C91" s="30">
        <f t="shared" si="34"/>
        <v>227.1751863850151</v>
      </c>
      <c r="D91" s="30"/>
      <c r="E91" s="30">
        <f t="shared" si="35"/>
        <v>190.57750651768413</v>
      </c>
      <c r="F91" s="29">
        <f t="shared" si="41"/>
        <v>36.59767986733098</v>
      </c>
      <c r="G91" s="30">
        <f t="shared" si="36"/>
        <v>22832.703102254764</v>
      </c>
      <c r="H91" s="25">
        <f t="shared" si="37"/>
        <v>47.64437662942103</v>
      </c>
      <c r="I91" s="33">
        <f>IF(G90&lt;0.5,"",IF(OR(YEAR(A91)&lt;YEAR(A92),G91&lt;0.5),SUM($H$11:H91)-SUM($I$11:I90),""))</f>
      </c>
      <c r="J91" s="35">
        <f t="shared" si="38"/>
        <v>16233.89319944098</v>
      </c>
      <c r="K91" s="35">
        <f t="shared" si="39"/>
        <v>2167.2968977452415</v>
      </c>
      <c r="L91" s="33">
        <f t="shared" si="42"/>
        <v>14631.45197039923</v>
      </c>
      <c r="M91" s="33">
        <f t="shared" si="43"/>
        <v>2868.414794106893</v>
      </c>
    </row>
    <row r="92" spans="1:13" ht="12.75">
      <c r="A92" s="7">
        <f t="shared" si="40"/>
        <v>41213</v>
      </c>
      <c r="B92" s="23">
        <f aca="true" t="shared" si="44" ref="B92:B107">B91+1</f>
        <v>82</v>
      </c>
      <c r="C92" s="30">
        <f aca="true" t="shared" si="45" ref="C92:C107">IF(G91&gt;0.5,C91,"")</f>
        <v>227.1751863850151</v>
      </c>
      <c r="D92" s="30"/>
      <c r="E92" s="30">
        <f aca="true" t="shared" si="46" ref="E92:E107">IF(G91&gt;0.5,$J$3*G91,"")</f>
        <v>190.27252585212304</v>
      </c>
      <c r="F92" s="29">
        <f t="shared" si="41"/>
        <v>36.90266053289207</v>
      </c>
      <c r="G92" s="30">
        <f aca="true" t="shared" si="47" ref="G92:G107">IF(G91&gt;0.5,G91-F92,0)</f>
        <v>22795.800441721873</v>
      </c>
      <c r="H92" s="25">
        <f t="shared" si="37"/>
        <v>47.56813146303076</v>
      </c>
      <c r="I92" s="33">
        <f>IF(G91&lt;0.5,"",IF(OR(YEAR(A92)&lt;YEAR(A93),G92&lt;0.5),SUM($H$11:H92)-SUM($I$11:I91),""))</f>
      </c>
      <c r="J92" s="35">
        <f aca="true" t="shared" si="48" ref="J92:J107">IF(G91&gt;0.5,J91+E92,"")</f>
        <v>16424.165725293104</v>
      </c>
      <c r="K92" s="35">
        <f aca="true" t="shared" si="49" ref="K92:K107">IF(G91&gt;0.5,K91+F92,"")</f>
        <v>2204.1995582781337</v>
      </c>
      <c r="L92" s="33">
        <f t="shared" si="42"/>
        <v>14772.454505502148</v>
      </c>
      <c r="M92" s="33">
        <f t="shared" si="43"/>
        <v>2868.414794106893</v>
      </c>
    </row>
    <row r="93" spans="1:13" ht="12.75">
      <c r="A93" s="7">
        <f t="shared" si="40"/>
        <v>41243</v>
      </c>
      <c r="B93" s="23">
        <f t="shared" si="44"/>
        <v>83</v>
      </c>
      <c r="C93" s="30">
        <f t="shared" si="45"/>
        <v>227.1751863850151</v>
      </c>
      <c r="D93" s="30"/>
      <c r="E93" s="30">
        <f t="shared" si="46"/>
        <v>189.96500368101562</v>
      </c>
      <c r="F93" s="29">
        <f t="shared" si="41"/>
        <v>37.21018270399949</v>
      </c>
      <c r="G93" s="30">
        <f t="shared" si="47"/>
        <v>22758.590259017874</v>
      </c>
      <c r="H93" s="25">
        <f t="shared" si="37"/>
        <v>47.491250920253904</v>
      </c>
      <c r="I93" s="33">
        <f>IF(G92&lt;0.5,"",IF(OR(YEAR(A93)&lt;YEAR(A94),G93&lt;0.5),SUM($H$11:H93)-SUM($I$11:I92),""))</f>
      </c>
      <c r="J93" s="35">
        <f t="shared" si="48"/>
        <v>16614.13072897412</v>
      </c>
      <c r="K93" s="35">
        <f t="shared" si="49"/>
        <v>2241.4097409821334</v>
      </c>
      <c r="L93" s="33">
        <f t="shared" si="42"/>
        <v>14912.639295993866</v>
      </c>
      <c r="M93" s="33">
        <f aca="true" t="shared" si="50" ref="M93:M108">IF(G92&lt;0.5,"",IF(I93="",M92,I93/(1+$J$4)^B93+M92))</f>
        <v>2868.414794106893</v>
      </c>
    </row>
    <row r="94" spans="1:13" ht="12.75">
      <c r="A94" s="7">
        <f t="shared" si="40"/>
        <v>41274</v>
      </c>
      <c r="B94" s="23">
        <f t="shared" si="44"/>
        <v>84</v>
      </c>
      <c r="C94" s="30">
        <f t="shared" si="45"/>
        <v>227.1751863850151</v>
      </c>
      <c r="D94" s="30"/>
      <c r="E94" s="30">
        <f t="shared" si="46"/>
        <v>189.65491882514894</v>
      </c>
      <c r="F94" s="29">
        <f t="shared" si="41"/>
        <v>37.52026755986617</v>
      </c>
      <c r="G94" s="30">
        <f t="shared" si="47"/>
        <v>22721.069991458007</v>
      </c>
      <c r="H94" s="25">
        <f t="shared" si="37"/>
        <v>47.413729706287235</v>
      </c>
      <c r="I94" s="33">
        <f>IF(G93&lt;0.5,"",IF(OR(YEAR(A94)&lt;YEAR(A95),G94&lt;0.5),SUM($H$11:H94)-SUM($I$11:I93),""))</f>
        <v>573.9427955379929</v>
      </c>
      <c r="J94" s="35">
        <f t="shared" si="48"/>
        <v>16803.78564779927</v>
      </c>
      <c r="K94" s="35">
        <f t="shared" si="49"/>
        <v>2278.9300085419995</v>
      </c>
      <c r="L94" s="33">
        <f t="shared" si="42"/>
        <v>15052.011084386626</v>
      </c>
      <c r="M94" s="33">
        <f t="shared" si="50"/>
        <v>3220.528223051994</v>
      </c>
    </row>
    <row r="95" spans="1:13" ht="12.75">
      <c r="A95" s="7">
        <f t="shared" si="40"/>
        <v>41305</v>
      </c>
      <c r="B95" s="23">
        <f t="shared" si="44"/>
        <v>85</v>
      </c>
      <c r="C95" s="30">
        <f t="shared" si="45"/>
        <v>227.1751863850151</v>
      </c>
      <c r="D95" s="30"/>
      <c r="E95" s="30">
        <f t="shared" si="46"/>
        <v>189.34224992881673</v>
      </c>
      <c r="F95" s="29">
        <f t="shared" si="41"/>
        <v>37.83293645619838</v>
      </c>
      <c r="G95" s="30">
        <f t="shared" si="47"/>
        <v>22683.23705500181</v>
      </c>
      <c r="H95" s="25">
        <f t="shared" si="37"/>
        <v>47.33556248220418</v>
      </c>
      <c r="I95" s="33">
        <f>IF(G94&lt;0.5,"",IF(OR(YEAR(A95)&lt;YEAR(A96),G95&lt;0.5),SUM($H$11:H95)-SUM($I$11:I94),""))</f>
      </c>
      <c r="J95" s="35">
        <f t="shared" si="48"/>
        <v>16993.127897728085</v>
      </c>
      <c r="K95" s="35">
        <f t="shared" si="49"/>
        <v>2316.762944998198</v>
      </c>
      <c r="L95" s="33">
        <f t="shared" si="42"/>
        <v>15190.574585688459</v>
      </c>
      <c r="M95" s="33">
        <f t="shared" si="50"/>
        <v>3220.528223051994</v>
      </c>
    </row>
    <row r="96" spans="1:13" ht="12.75">
      <c r="A96" s="7">
        <f t="shared" si="40"/>
        <v>41333</v>
      </c>
      <c r="B96" s="23">
        <f t="shared" si="44"/>
        <v>86</v>
      </c>
      <c r="C96" s="30">
        <f t="shared" si="45"/>
        <v>227.1751863850151</v>
      </c>
      <c r="D96" s="30"/>
      <c r="E96" s="30">
        <f t="shared" si="46"/>
        <v>189.0269754583484</v>
      </c>
      <c r="F96" s="29">
        <f t="shared" si="41"/>
        <v>38.14821092666671</v>
      </c>
      <c r="G96" s="30">
        <f t="shared" si="47"/>
        <v>22645.088844075144</v>
      </c>
      <c r="H96" s="25">
        <f t="shared" si="37"/>
        <v>47.2567438645871</v>
      </c>
      <c r="I96" s="33">
        <f>IF(G95&lt;0.5,"",IF(OR(YEAR(A96)&lt;YEAR(A97),G96&lt;0.5),SUM($H$11:H96)-SUM($I$11:I95),""))</f>
      </c>
      <c r="J96" s="35">
        <f t="shared" si="48"/>
        <v>17182.154873186435</v>
      </c>
      <c r="K96" s="35">
        <f t="shared" si="49"/>
        <v>2354.9111559248645</v>
      </c>
      <c r="L96" s="33">
        <f t="shared" si="42"/>
        <v>15328.334487562692</v>
      </c>
      <c r="M96" s="33">
        <f t="shared" si="50"/>
        <v>3220.528223051994</v>
      </c>
    </row>
    <row r="97" spans="1:13" ht="12.75">
      <c r="A97" s="7">
        <f t="shared" si="40"/>
        <v>41364</v>
      </c>
      <c r="B97" s="23">
        <f t="shared" si="44"/>
        <v>87</v>
      </c>
      <c r="C97" s="30">
        <f t="shared" si="45"/>
        <v>227.1751863850151</v>
      </c>
      <c r="D97" s="30"/>
      <c r="E97" s="30">
        <f t="shared" si="46"/>
        <v>188.7090737006262</v>
      </c>
      <c r="F97" s="29">
        <f t="shared" si="41"/>
        <v>38.46611268438892</v>
      </c>
      <c r="G97" s="30">
        <f t="shared" si="47"/>
        <v>22606.622731390755</v>
      </c>
      <c r="H97" s="25">
        <f t="shared" si="37"/>
        <v>47.17726842515655</v>
      </c>
      <c r="I97" s="33">
        <f>IF(G96&lt;0.5,"",IF(OR(YEAR(A97)&lt;YEAR(A98),G97&lt;0.5),SUM($H$11:H97)-SUM($I$11:I96),""))</f>
      </c>
      <c r="J97" s="35">
        <f t="shared" si="48"/>
        <v>17370.86394688706</v>
      </c>
      <c r="K97" s="35">
        <f t="shared" si="49"/>
        <v>2393.3772686092534</v>
      </c>
      <c r="L97" s="33">
        <f t="shared" si="42"/>
        <v>15465.295450486536</v>
      </c>
      <c r="M97" s="33">
        <f t="shared" si="50"/>
        <v>3220.528223051994</v>
      </c>
    </row>
    <row r="98" spans="1:13" ht="12.75">
      <c r="A98" s="7">
        <f t="shared" si="40"/>
        <v>41394</v>
      </c>
      <c r="B98" s="23">
        <f t="shared" si="44"/>
        <v>88</v>
      </c>
      <c r="C98" s="30">
        <f t="shared" si="45"/>
        <v>227.1751863850151</v>
      </c>
      <c r="D98" s="30"/>
      <c r="E98" s="30">
        <f t="shared" si="46"/>
        <v>188.38852276158963</v>
      </c>
      <c r="F98" s="29">
        <f t="shared" si="41"/>
        <v>38.78666362342548</v>
      </c>
      <c r="G98" s="30">
        <f t="shared" si="47"/>
        <v>22567.83606776733</v>
      </c>
      <c r="H98" s="25">
        <f t="shared" si="37"/>
        <v>47.09713069039741</v>
      </c>
      <c r="I98" s="33">
        <f>IF(G97&lt;0.5,"",IF(OR(YEAR(A98)&lt;YEAR(A99),G98&lt;0.5),SUM($H$11:H98)-SUM($I$11:I97),""))</f>
      </c>
      <c r="J98" s="35">
        <f t="shared" si="48"/>
        <v>17559.25246964865</v>
      </c>
      <c r="K98" s="35">
        <f t="shared" si="49"/>
        <v>2432.1639322326787</v>
      </c>
      <c r="L98" s="33">
        <f t="shared" si="42"/>
        <v>15601.46210790875</v>
      </c>
      <c r="M98" s="33">
        <f t="shared" si="50"/>
        <v>3220.528223051994</v>
      </c>
    </row>
    <row r="99" spans="1:13" ht="12.75">
      <c r="A99" s="7">
        <f t="shared" si="40"/>
        <v>41425</v>
      </c>
      <c r="B99" s="23">
        <f t="shared" si="44"/>
        <v>89</v>
      </c>
      <c r="C99" s="30">
        <f t="shared" si="45"/>
        <v>227.1751863850151</v>
      </c>
      <c r="D99" s="30"/>
      <c r="E99" s="30">
        <f t="shared" si="46"/>
        <v>188.06530056472775</v>
      </c>
      <c r="F99" s="29">
        <f t="shared" si="41"/>
        <v>39.10988582028736</v>
      </c>
      <c r="G99" s="30">
        <f t="shared" si="47"/>
        <v>22528.726181947044</v>
      </c>
      <c r="H99" s="25">
        <f t="shared" si="37"/>
        <v>47.01632514118194</v>
      </c>
      <c r="I99" s="33">
        <f>IF(G98&lt;0.5,"",IF(OR(YEAR(A99)&lt;YEAR(A100),G99&lt;0.5),SUM($H$11:H99)-SUM($I$11:I98),""))</f>
      </c>
      <c r="J99" s="35">
        <f t="shared" si="48"/>
        <v>17747.31777021338</v>
      </c>
      <c r="K99" s="35">
        <f t="shared" si="49"/>
        <v>2471.273818052966</v>
      </c>
      <c r="L99" s="33">
        <f t="shared" si="42"/>
        <v>15736.839066406394</v>
      </c>
      <c r="M99" s="33">
        <f t="shared" si="50"/>
        <v>3220.528223051994</v>
      </c>
    </row>
    <row r="100" spans="1:13" ht="12.75">
      <c r="A100" s="7">
        <f t="shared" si="40"/>
        <v>41455</v>
      </c>
      <c r="B100" s="23">
        <f t="shared" si="44"/>
        <v>90</v>
      </c>
      <c r="C100" s="30">
        <f t="shared" si="45"/>
        <v>227.1751863850151</v>
      </c>
      <c r="D100" s="30"/>
      <c r="E100" s="30">
        <f t="shared" si="46"/>
        <v>187.7393848495587</v>
      </c>
      <c r="F100" s="29">
        <f t="shared" si="41"/>
        <v>39.43580153545642</v>
      </c>
      <c r="G100" s="30">
        <f t="shared" si="47"/>
        <v>22489.29038041159</v>
      </c>
      <c r="H100" s="25">
        <f t="shared" si="37"/>
        <v>46.93484621238967</v>
      </c>
      <c r="I100" s="33">
        <f>IF(G99&lt;0.5,"",IF(OR(YEAR(A100)&lt;YEAR(A101),G100&lt;0.5),SUM($H$11:H100)-SUM($I$11:I99),""))</f>
      </c>
      <c r="J100" s="35">
        <f t="shared" si="48"/>
        <v>17935.05715506294</v>
      </c>
      <c r="K100" s="35">
        <f t="shared" si="49"/>
        <v>2510.7096195884224</v>
      </c>
      <c r="L100" s="33">
        <f t="shared" si="42"/>
        <v>15871.43090584067</v>
      </c>
      <c r="M100" s="33">
        <f t="shared" si="50"/>
        <v>3220.528223051994</v>
      </c>
    </row>
    <row r="101" spans="1:13" ht="12.75">
      <c r="A101" s="7">
        <f t="shared" si="40"/>
        <v>41486</v>
      </c>
      <c r="B101" s="23">
        <f t="shared" si="44"/>
        <v>91</v>
      </c>
      <c r="C101" s="30">
        <f t="shared" si="45"/>
        <v>227.1751863850151</v>
      </c>
      <c r="D101" s="30"/>
      <c r="E101" s="30">
        <f t="shared" si="46"/>
        <v>187.41075317009657</v>
      </c>
      <c r="F101" s="29">
        <f t="shared" si="41"/>
        <v>39.76443321491854</v>
      </c>
      <c r="G101" s="30">
        <f t="shared" si="47"/>
        <v>22449.52594719667</v>
      </c>
      <c r="H101" s="25">
        <f t="shared" si="37"/>
        <v>46.85268829252414</v>
      </c>
      <c r="I101" s="33">
        <f>IF(G100&lt;0.5,"",IF(OR(YEAR(A101)&lt;YEAR(A102),G101&lt;0.5),SUM($H$11:H101)-SUM($I$11:I100),""))</f>
      </c>
      <c r="J101" s="35">
        <f t="shared" si="48"/>
        <v>18122.467908233037</v>
      </c>
      <c r="K101" s="35">
        <f t="shared" si="49"/>
        <v>2550.474052803341</v>
      </c>
      <c r="L101" s="33">
        <f t="shared" si="42"/>
        <v>16005.242179511866</v>
      </c>
      <c r="M101" s="33">
        <f t="shared" si="50"/>
        <v>3220.528223051994</v>
      </c>
    </row>
    <row r="102" spans="1:13" ht="12.75">
      <c r="A102" s="7">
        <f t="shared" si="40"/>
        <v>41517</v>
      </c>
      <c r="B102" s="23">
        <f t="shared" si="44"/>
        <v>92</v>
      </c>
      <c r="C102" s="30">
        <f t="shared" si="45"/>
        <v>227.1751863850151</v>
      </c>
      <c r="D102" s="30"/>
      <c r="E102" s="30">
        <f t="shared" si="46"/>
        <v>187.0793828933056</v>
      </c>
      <c r="F102" s="29">
        <f t="shared" si="41"/>
        <v>40.09580349170952</v>
      </c>
      <c r="G102" s="30">
        <f t="shared" si="47"/>
        <v>22409.43014370496</v>
      </c>
      <c r="H102" s="25">
        <f t="shared" si="37"/>
        <v>46.7698457233264</v>
      </c>
      <c r="I102" s="33">
        <f>IF(G101&lt;0.5,"",IF(OR(YEAR(A102)&lt;YEAR(A103),G102&lt;0.5),SUM($H$11:H102)-SUM($I$11:I101),""))</f>
      </c>
      <c r="J102" s="35">
        <f t="shared" si="48"/>
        <v>18309.547291126342</v>
      </c>
      <c r="K102" s="35">
        <f t="shared" si="49"/>
        <v>2590.56985629505</v>
      </c>
      <c r="L102" s="33">
        <f t="shared" si="42"/>
        <v>16138.277414313387</v>
      </c>
      <c r="M102" s="33">
        <f t="shared" si="50"/>
        <v>3220.528223051994</v>
      </c>
    </row>
    <row r="103" spans="1:13" ht="12.75">
      <c r="A103" s="7">
        <f t="shared" si="40"/>
        <v>41547</v>
      </c>
      <c r="B103" s="23">
        <f t="shared" si="44"/>
        <v>93</v>
      </c>
      <c r="C103" s="30">
        <f t="shared" si="45"/>
        <v>227.1751863850151</v>
      </c>
      <c r="D103" s="30"/>
      <c r="E103" s="30">
        <f t="shared" si="46"/>
        <v>186.74525119754134</v>
      </c>
      <c r="F103" s="29">
        <f t="shared" si="41"/>
        <v>40.429935187473774</v>
      </c>
      <c r="G103" s="30">
        <f t="shared" si="47"/>
        <v>22369.00020851749</v>
      </c>
      <c r="H103" s="25">
        <f t="shared" si="37"/>
        <v>46.686312799385334</v>
      </c>
      <c r="I103" s="33">
        <f>IF(G102&lt;0.5,"",IF(OR(YEAR(A103)&lt;YEAR(A104),G103&lt;0.5),SUM($H$11:H103)-SUM($I$11:I102),""))</f>
      </c>
      <c r="J103" s="35">
        <f t="shared" si="48"/>
        <v>18496.292542323885</v>
      </c>
      <c r="K103" s="35">
        <f t="shared" si="49"/>
        <v>2630.999791482524</v>
      </c>
      <c r="L103" s="33">
        <f t="shared" si="42"/>
        <v>16270.541110884906</v>
      </c>
      <c r="M103" s="33">
        <f t="shared" si="50"/>
        <v>3220.528223051994</v>
      </c>
    </row>
    <row r="104" spans="1:13" ht="12.75">
      <c r="A104" s="7">
        <f t="shared" si="40"/>
        <v>41578</v>
      </c>
      <c r="B104" s="23">
        <f t="shared" si="44"/>
        <v>94</v>
      </c>
      <c r="C104" s="30">
        <f t="shared" si="45"/>
        <v>227.1751863850151</v>
      </c>
      <c r="D104" s="30"/>
      <c r="E104" s="30">
        <f t="shared" si="46"/>
        <v>186.40833507097906</v>
      </c>
      <c r="F104" s="29">
        <f t="shared" si="41"/>
        <v>40.766851314036046</v>
      </c>
      <c r="G104" s="30">
        <f t="shared" si="47"/>
        <v>22328.233357203455</v>
      </c>
      <c r="H104" s="25">
        <f t="shared" si="37"/>
        <v>46.602083767744766</v>
      </c>
      <c r="I104" s="33">
        <f>IF(G103&lt;0.5,"",IF(OR(YEAR(A104)&lt;YEAR(A105),G104&lt;0.5),SUM($H$11:H104)-SUM($I$11:I103),""))</f>
      </c>
      <c r="J104" s="35">
        <f t="shared" si="48"/>
        <v>18682.700877394866</v>
      </c>
      <c r="K104" s="35">
        <f t="shared" si="49"/>
        <v>2671.76664279656</v>
      </c>
      <c r="L104" s="33">
        <f t="shared" si="42"/>
        <v>16402.037743764628</v>
      </c>
      <c r="M104" s="33">
        <f t="shared" si="50"/>
        <v>3220.528223051994</v>
      </c>
    </row>
    <row r="105" spans="1:13" ht="12.75">
      <c r="A105" s="7">
        <f t="shared" si="40"/>
        <v>41608</v>
      </c>
      <c r="B105" s="23">
        <f t="shared" si="44"/>
        <v>95</v>
      </c>
      <c r="C105" s="30">
        <f t="shared" si="45"/>
        <v>227.1751863850151</v>
      </c>
      <c r="D105" s="30"/>
      <c r="E105" s="30">
        <f t="shared" si="46"/>
        <v>186.06861131002879</v>
      </c>
      <c r="F105" s="29">
        <f t="shared" si="41"/>
        <v>41.106575074986324</v>
      </c>
      <c r="G105" s="30">
        <f t="shared" si="47"/>
        <v>22287.126782128467</v>
      </c>
      <c r="H105" s="25">
        <f t="shared" si="37"/>
        <v>46.517152827507196</v>
      </c>
      <c r="I105" s="33">
        <f>IF(G104&lt;0.5,"",IF(OR(YEAR(A105)&lt;YEAR(A106),G105&lt;0.5),SUM($H$11:H105)-SUM($I$11:I104),""))</f>
      </c>
      <c r="J105" s="35">
        <f t="shared" si="48"/>
        <v>18868.769488704893</v>
      </c>
      <c r="K105" s="35">
        <f t="shared" si="49"/>
        <v>2712.8732178715463</v>
      </c>
      <c r="L105" s="33">
        <f t="shared" si="42"/>
        <v>16532.771761540655</v>
      </c>
      <c r="M105" s="33">
        <f t="shared" si="50"/>
        <v>3220.528223051994</v>
      </c>
    </row>
    <row r="106" spans="1:13" ht="12.75">
      <c r="A106" s="7">
        <f t="shared" si="40"/>
        <v>41639</v>
      </c>
      <c r="B106" s="23">
        <f t="shared" si="44"/>
        <v>96</v>
      </c>
      <c r="C106" s="30">
        <f t="shared" si="45"/>
        <v>227.1751863850151</v>
      </c>
      <c r="D106" s="30"/>
      <c r="E106" s="30">
        <f t="shared" si="46"/>
        <v>185.72605651773722</v>
      </c>
      <c r="F106" s="29">
        <f t="shared" si="41"/>
        <v>41.44912986727789</v>
      </c>
      <c r="G106" s="30">
        <f t="shared" si="47"/>
        <v>22245.67765226119</v>
      </c>
      <c r="H106" s="25">
        <f t="shared" si="37"/>
        <v>46.431514129434305</v>
      </c>
      <c r="I106" s="33">
        <f>IF(G105&lt;0.5,"",IF(OR(YEAR(A106)&lt;YEAR(A107),G106&lt;0.5),SUM($H$11:H106)-SUM($I$11:I105),""))</f>
        <v>562.6774743558408</v>
      </c>
      <c r="J106" s="35">
        <f t="shared" si="48"/>
        <v>19054.49554522263</v>
      </c>
      <c r="K106" s="35">
        <f t="shared" si="49"/>
        <v>2754.322347738824</v>
      </c>
      <c r="L106" s="33">
        <f t="shared" si="42"/>
        <v>16662.747587001493</v>
      </c>
      <c r="M106" s="33">
        <f t="shared" si="50"/>
        <v>3542.4580533358035</v>
      </c>
    </row>
    <row r="107" spans="1:13" ht="12.75">
      <c r="A107" s="7">
        <f t="shared" si="40"/>
        <v>41670</v>
      </c>
      <c r="B107" s="23">
        <f t="shared" si="44"/>
        <v>97</v>
      </c>
      <c r="C107" s="30">
        <f t="shared" si="45"/>
        <v>227.1751863850151</v>
      </c>
      <c r="D107" s="30"/>
      <c r="E107" s="30">
        <f t="shared" si="46"/>
        <v>185.3806471021766</v>
      </c>
      <c r="F107" s="29">
        <f t="shared" si="41"/>
        <v>41.794539282838514</v>
      </c>
      <c r="G107" s="30">
        <f t="shared" si="47"/>
        <v>22203.883112978354</v>
      </c>
      <c r="H107" s="25">
        <f t="shared" si="37"/>
        <v>46.34516177554415</v>
      </c>
      <c r="I107" s="33">
        <f>IF(G106&lt;0.5,"",IF(OR(YEAR(A107)&lt;YEAR(A108),G107&lt;0.5),SUM($H$11:H107)-SUM($I$11:I106),""))</f>
      </c>
      <c r="J107" s="35">
        <f t="shared" si="48"/>
        <v>19239.87619232481</v>
      </c>
      <c r="K107" s="35">
        <f t="shared" si="49"/>
        <v>2796.1168870216625</v>
      </c>
      <c r="L107" s="33">
        <f t="shared" si="42"/>
        <v>16791.969617285675</v>
      </c>
      <c r="M107" s="33">
        <f t="shared" si="50"/>
        <v>3542.4580533358035</v>
      </c>
    </row>
    <row r="108" spans="1:13" ht="12.75">
      <c r="A108" s="7">
        <f t="shared" si="40"/>
        <v>41698</v>
      </c>
      <c r="B108" s="23">
        <f aca="true" t="shared" si="51" ref="B108:B123">B107+1</f>
        <v>98</v>
      </c>
      <c r="C108" s="30">
        <f aca="true" t="shared" si="52" ref="C108:C123">IF(G107&gt;0.5,C107,"")</f>
        <v>227.1751863850151</v>
      </c>
      <c r="D108" s="30"/>
      <c r="E108" s="30">
        <f aca="true" t="shared" si="53" ref="E108:E123">IF(G107&gt;0.5,$J$3*G107,"")</f>
        <v>185.0323592748196</v>
      </c>
      <c r="F108" s="29">
        <f t="shared" si="41"/>
        <v>42.1428271101955</v>
      </c>
      <c r="G108" s="30">
        <f aca="true" t="shared" si="54" ref="G108:G123">IF(G107&gt;0.5,G107-F108,0)</f>
        <v>22161.74028586816</v>
      </c>
      <c r="H108" s="25">
        <f aca="true" t="shared" si="55" ref="H108:H139">IF(G107&gt;0.5,E108*$J$5,"")</f>
        <v>46.2580898187049</v>
      </c>
      <c r="I108" s="33">
        <f>IF(G107&lt;0.5,"",IF(OR(YEAR(A108)&lt;YEAR(A109),G108&lt;0.5),SUM($H$11:H108)-SUM($I$11:I107),""))</f>
      </c>
      <c r="J108" s="35">
        <f aca="true" t="shared" si="56" ref="J108:J123">IF(G107&gt;0.5,J107+E108,"")</f>
        <v>19424.90855159963</v>
      </c>
      <c r="K108" s="35">
        <f aca="true" t="shared" si="57" ref="K108:K123">IF(G107&gt;0.5,K107+F108,"")</f>
        <v>2838.259714131858</v>
      </c>
      <c r="L108" s="33">
        <f t="shared" si="42"/>
        <v>16920.44222403051</v>
      </c>
      <c r="M108" s="33">
        <f t="shared" si="50"/>
        <v>3542.4580533358035</v>
      </c>
    </row>
    <row r="109" spans="1:13" ht="12.75">
      <c r="A109" s="7">
        <f t="shared" si="40"/>
        <v>41729</v>
      </c>
      <c r="B109" s="23">
        <f t="shared" si="51"/>
        <v>99</v>
      </c>
      <c r="C109" s="30">
        <f t="shared" si="52"/>
        <v>227.1751863850151</v>
      </c>
      <c r="D109" s="30"/>
      <c r="E109" s="30">
        <f t="shared" si="53"/>
        <v>184.68116904890132</v>
      </c>
      <c r="F109" s="29">
        <f t="shared" si="41"/>
        <v>42.494017336113785</v>
      </c>
      <c r="G109" s="30">
        <f t="shared" si="54"/>
        <v>22119.246268532046</v>
      </c>
      <c r="H109" s="25">
        <f t="shared" si="55"/>
        <v>46.17029226222533</v>
      </c>
      <c r="I109" s="33">
        <f>IF(G108&lt;0.5,"",IF(OR(YEAR(A109)&lt;YEAR(A110),G109&lt;0.5),SUM($H$11:H109)-SUM($I$11:I108),""))</f>
      </c>
      <c r="J109" s="35">
        <f t="shared" si="56"/>
        <v>19609.58972064853</v>
      </c>
      <c r="K109" s="35">
        <f t="shared" si="57"/>
        <v>2880.7537314679716</v>
      </c>
      <c r="L109" s="33">
        <f t="shared" si="42"/>
        <v>17048.169753519993</v>
      </c>
      <c r="M109" s="33">
        <f aca="true" t="shared" si="58" ref="M109:M124">IF(G108&lt;0.5,"",IF(I109="",M108,I109/(1+$J$4)^B109+M108))</f>
        <v>3542.4580533358035</v>
      </c>
    </row>
    <row r="110" spans="1:13" ht="12.75">
      <c r="A110" s="7">
        <f t="shared" si="40"/>
        <v>41759</v>
      </c>
      <c r="B110" s="23">
        <f t="shared" si="51"/>
        <v>100</v>
      </c>
      <c r="C110" s="30">
        <f t="shared" si="52"/>
        <v>227.1751863850151</v>
      </c>
      <c r="D110" s="30"/>
      <c r="E110" s="30">
        <f t="shared" si="53"/>
        <v>184.32705223776705</v>
      </c>
      <c r="F110" s="29">
        <f t="shared" si="41"/>
        <v>42.84813414724806</v>
      </c>
      <c r="G110" s="30">
        <f t="shared" si="54"/>
        <v>22076.3981343848</v>
      </c>
      <c r="H110" s="25">
        <f t="shared" si="55"/>
        <v>46.08176305944176</v>
      </c>
      <c r="I110" s="33">
        <f>IF(G109&lt;0.5,"",IF(OR(YEAR(A110)&lt;YEAR(A111),G110&lt;0.5),SUM($H$11:H110)-SUM($I$11:I109),""))</f>
      </c>
      <c r="J110" s="35">
        <f t="shared" si="56"/>
        <v>19793.9167728863</v>
      </c>
      <c r="K110" s="35">
        <f t="shared" si="57"/>
        <v>2923.6018656152196</v>
      </c>
      <c r="L110" s="33">
        <f t="shared" si="42"/>
        <v>17175.156526831823</v>
      </c>
      <c r="M110" s="33">
        <f t="shared" si="58"/>
        <v>3542.4580533358035</v>
      </c>
    </row>
    <row r="111" spans="1:13" ht="12.75">
      <c r="A111" s="7">
        <f t="shared" si="40"/>
        <v>41790</v>
      </c>
      <c r="B111" s="23">
        <f t="shared" si="51"/>
        <v>101</v>
      </c>
      <c r="C111" s="30">
        <f t="shared" si="52"/>
        <v>227.1751863850151</v>
      </c>
      <c r="D111" s="30"/>
      <c r="E111" s="30">
        <f t="shared" si="53"/>
        <v>183.96998445320665</v>
      </c>
      <c r="F111" s="29">
        <f t="shared" si="41"/>
        <v>43.20520193180846</v>
      </c>
      <c r="G111" s="30">
        <f t="shared" si="54"/>
        <v>22033.192932452992</v>
      </c>
      <c r="H111" s="25">
        <f t="shared" si="55"/>
        <v>45.99249611330166</v>
      </c>
      <c r="I111" s="33">
        <f>IF(G110&lt;0.5,"",IF(OR(YEAR(A111)&lt;YEAR(A112),G111&lt;0.5),SUM($H$11:H111)-SUM($I$11:I110),""))</f>
      </c>
      <c r="J111" s="35">
        <f t="shared" si="56"/>
        <v>19977.886757339507</v>
      </c>
      <c r="K111" s="35">
        <f t="shared" si="57"/>
        <v>2966.807067547028</v>
      </c>
      <c r="L111" s="33">
        <f t="shared" si="42"/>
        <v>17301.4068399836</v>
      </c>
      <c r="M111" s="33">
        <f t="shared" si="58"/>
        <v>3542.4580533358035</v>
      </c>
    </row>
    <row r="112" spans="1:13" ht="12.75">
      <c r="A112" s="7">
        <f t="shared" si="40"/>
        <v>41820</v>
      </c>
      <c r="B112" s="23">
        <f t="shared" si="51"/>
        <v>102</v>
      </c>
      <c r="C112" s="30">
        <f t="shared" si="52"/>
        <v>227.1751863850151</v>
      </c>
      <c r="D112" s="30"/>
      <c r="E112" s="30">
        <f t="shared" si="53"/>
        <v>183.60994110377493</v>
      </c>
      <c r="F112" s="29">
        <f t="shared" si="41"/>
        <v>43.56524528124018</v>
      </c>
      <c r="G112" s="30">
        <f t="shared" si="54"/>
        <v>21989.627687171753</v>
      </c>
      <c r="H112" s="25">
        <f t="shared" si="55"/>
        <v>45.90248527594373</v>
      </c>
      <c r="I112" s="33">
        <f>IF(G111&lt;0.5,"",IF(OR(YEAR(A112)&lt;YEAR(A113),G112&lt;0.5),SUM($H$11:H112)-SUM($I$11:I111),""))</f>
      </c>
      <c r="J112" s="35">
        <f t="shared" si="56"/>
        <v>20161.496698443283</v>
      </c>
      <c r="K112" s="35">
        <f t="shared" si="57"/>
        <v>3010.372312828268</v>
      </c>
      <c r="L112" s="33">
        <f t="shared" si="42"/>
        <v>17426.92496407816</v>
      </c>
      <c r="M112" s="33">
        <f t="shared" si="58"/>
        <v>3542.4580533358035</v>
      </c>
    </row>
    <row r="113" spans="1:13" ht="12.75">
      <c r="A113" s="7">
        <f t="shared" si="40"/>
        <v>41851</v>
      </c>
      <c r="B113" s="23">
        <f t="shared" si="51"/>
        <v>103</v>
      </c>
      <c r="C113" s="30">
        <f t="shared" si="52"/>
        <v>227.1751863850151</v>
      </c>
      <c r="D113" s="30"/>
      <c r="E113" s="30">
        <f t="shared" si="53"/>
        <v>183.24689739309792</v>
      </c>
      <c r="F113" s="29">
        <f t="shared" si="41"/>
        <v>43.928288991917185</v>
      </c>
      <c r="G113" s="30">
        <f t="shared" si="54"/>
        <v>21945.699398179837</v>
      </c>
      <c r="H113" s="25">
        <f t="shared" si="55"/>
        <v>45.81172434827448</v>
      </c>
      <c r="I113" s="33">
        <f>IF(G112&lt;0.5,"",IF(OR(YEAR(A113)&lt;YEAR(A114),G113&lt;0.5),SUM($H$11:H113)-SUM($I$11:I112),""))</f>
      </c>
      <c r="J113" s="35">
        <f t="shared" si="56"/>
        <v>20344.743595836382</v>
      </c>
      <c r="K113" s="35">
        <f t="shared" si="57"/>
        <v>3054.3006018201854</v>
      </c>
      <c r="L113" s="33">
        <f t="shared" si="42"/>
        <v>17551.715145448063</v>
      </c>
      <c r="M113" s="33">
        <f t="shared" si="58"/>
        <v>3542.4580533358035</v>
      </c>
    </row>
    <row r="114" spans="1:13" ht="12.75">
      <c r="A114" s="7">
        <f t="shared" si="40"/>
        <v>41882</v>
      </c>
      <c r="B114" s="23">
        <f t="shared" si="51"/>
        <v>104</v>
      </c>
      <c r="C114" s="30">
        <f t="shared" si="52"/>
        <v>227.1751863850151</v>
      </c>
      <c r="D114" s="30"/>
      <c r="E114" s="30">
        <f t="shared" si="53"/>
        <v>182.8808283181653</v>
      </c>
      <c r="F114" s="29">
        <f t="shared" si="41"/>
        <v>44.29435806684981</v>
      </c>
      <c r="G114" s="30">
        <f t="shared" si="54"/>
        <v>21901.405040112986</v>
      </c>
      <c r="H114" s="25">
        <f t="shared" si="55"/>
        <v>45.720207079541325</v>
      </c>
      <c r="I114" s="33">
        <f>IF(G113&lt;0.5,"",IF(OR(YEAR(A114)&lt;YEAR(A115),G114&lt;0.5),SUM($H$11:H114)-SUM($I$11:I113),""))</f>
      </c>
      <c r="J114" s="35">
        <f t="shared" si="56"/>
        <v>20527.624424154546</v>
      </c>
      <c r="K114" s="35">
        <f t="shared" si="57"/>
        <v>3098.594959887035</v>
      </c>
      <c r="L114" s="33">
        <f t="shared" si="42"/>
        <v>17675.78160579925</v>
      </c>
      <c r="M114" s="33">
        <f t="shared" si="58"/>
        <v>3542.4580533358035</v>
      </c>
    </row>
    <row r="115" spans="1:13" ht="12.75">
      <c r="A115" s="7">
        <f t="shared" si="40"/>
        <v>41912</v>
      </c>
      <c r="B115" s="23">
        <f t="shared" si="51"/>
        <v>105</v>
      </c>
      <c r="C115" s="30">
        <f t="shared" si="52"/>
        <v>227.1751863850151</v>
      </c>
      <c r="D115" s="30"/>
      <c r="E115" s="30">
        <f t="shared" si="53"/>
        <v>182.51170866760822</v>
      </c>
      <c r="F115" s="29">
        <f t="shared" si="41"/>
        <v>44.66347771740689</v>
      </c>
      <c r="G115" s="30">
        <f t="shared" si="54"/>
        <v>21856.74156239558</v>
      </c>
      <c r="H115" s="25">
        <f t="shared" si="55"/>
        <v>45.627927166902055</v>
      </c>
      <c r="I115" s="33">
        <f>IF(G114&lt;0.5,"",IF(OR(YEAR(A115)&lt;YEAR(A116),G115&lt;0.5),SUM($H$11:H115)-SUM($I$11:I114),""))</f>
      </c>
      <c r="J115" s="35">
        <f t="shared" si="56"/>
        <v>20710.136132822154</v>
      </c>
      <c r="K115" s="35">
        <f t="shared" si="57"/>
        <v>3143.258437604442</v>
      </c>
      <c r="L115" s="33">
        <f t="shared" si="42"/>
        <v>17799.12854235387</v>
      </c>
      <c r="M115" s="33">
        <f t="shared" si="58"/>
        <v>3542.4580533358035</v>
      </c>
    </row>
    <row r="116" spans="1:13" ht="12.75">
      <c r="A116" s="7">
        <f t="shared" si="40"/>
        <v>41943</v>
      </c>
      <c r="B116" s="23">
        <f t="shared" si="51"/>
        <v>106</v>
      </c>
      <c r="C116" s="30">
        <f t="shared" si="52"/>
        <v>227.1751863850151</v>
      </c>
      <c r="D116" s="30"/>
      <c r="E116" s="30">
        <f t="shared" si="53"/>
        <v>182.13951301996315</v>
      </c>
      <c r="F116" s="29">
        <f t="shared" si="41"/>
        <v>45.03567336505196</v>
      </c>
      <c r="G116" s="30">
        <f t="shared" si="54"/>
        <v>21811.705889030527</v>
      </c>
      <c r="H116" s="25">
        <f t="shared" si="55"/>
        <v>45.53487825499079</v>
      </c>
      <c r="I116" s="33">
        <f>IF(G115&lt;0.5,"",IF(OR(YEAR(A116)&lt;YEAR(A117),G116&lt;0.5),SUM($H$11:H116)-SUM($I$11:I115),""))</f>
      </c>
      <c r="J116" s="35">
        <f t="shared" si="56"/>
        <v>20892.275645842117</v>
      </c>
      <c r="K116" s="35">
        <f t="shared" si="57"/>
        <v>3188.294110969494</v>
      </c>
      <c r="L116" s="33">
        <f t="shared" si="42"/>
        <v>17921.76012799226</v>
      </c>
      <c r="M116" s="33">
        <f t="shared" si="58"/>
        <v>3542.4580533358035</v>
      </c>
    </row>
    <row r="117" spans="1:13" ht="12.75">
      <c r="A117" s="7">
        <f t="shared" si="40"/>
        <v>41973</v>
      </c>
      <c r="B117" s="23">
        <f t="shared" si="51"/>
        <v>107</v>
      </c>
      <c r="C117" s="30">
        <f t="shared" si="52"/>
        <v>227.1751863850151</v>
      </c>
      <c r="D117" s="30"/>
      <c r="E117" s="30">
        <f t="shared" si="53"/>
        <v>181.76421574192105</v>
      </c>
      <c r="F117" s="29">
        <f t="shared" si="41"/>
        <v>45.41097064309406</v>
      </c>
      <c r="G117" s="30">
        <f t="shared" si="54"/>
        <v>21766.294918387433</v>
      </c>
      <c r="H117" s="25">
        <f t="shared" si="55"/>
        <v>45.44105393548026</v>
      </c>
      <c r="I117" s="33">
        <f>IF(G116&lt;0.5,"",IF(OR(YEAR(A117)&lt;YEAR(A118),G117&lt;0.5),SUM($H$11:H117)-SUM($I$11:I116),""))</f>
      </c>
      <c r="J117" s="35">
        <f t="shared" si="56"/>
        <v>21074.03986158404</v>
      </c>
      <c r="K117" s="35">
        <f t="shared" si="57"/>
        <v>3233.705081612588</v>
      </c>
      <c r="L117" s="33">
        <f t="shared" si="42"/>
        <v>18043.68051139414</v>
      </c>
      <c r="M117" s="33">
        <f t="shared" si="58"/>
        <v>3542.4580533358035</v>
      </c>
    </row>
    <row r="118" spans="1:13" ht="12.75">
      <c r="A118" s="7">
        <f t="shared" si="40"/>
        <v>42004</v>
      </c>
      <c r="B118" s="23">
        <f t="shared" si="51"/>
        <v>108</v>
      </c>
      <c r="C118" s="30">
        <f t="shared" si="52"/>
        <v>227.1751863850151</v>
      </c>
      <c r="D118" s="30"/>
      <c r="E118" s="30">
        <f t="shared" si="53"/>
        <v>181.38579098656194</v>
      </c>
      <c r="F118" s="29">
        <f t="shared" si="41"/>
        <v>45.789395398453166</v>
      </c>
      <c r="G118" s="30">
        <f t="shared" si="54"/>
        <v>21720.50552298898</v>
      </c>
      <c r="H118" s="25">
        <f t="shared" si="55"/>
        <v>45.346447746640486</v>
      </c>
      <c r="I118" s="33">
        <f>IF(G117&lt;0.5,"",IF(OR(YEAR(A118)&lt;YEAR(A119),G118&lt;0.5),SUM($H$11:H118)-SUM($I$11:I117),""))</f>
        <v>550.2325268369923</v>
      </c>
      <c r="J118" s="35">
        <f t="shared" si="56"/>
        <v>21255.4256525706</v>
      </c>
      <c r="K118" s="35">
        <f t="shared" si="57"/>
        <v>3279.494477011041</v>
      </c>
      <c r="L118" s="33">
        <f t="shared" si="42"/>
        <v>18164.893817178945</v>
      </c>
      <c r="M118" s="33">
        <f t="shared" si="58"/>
        <v>3836.044270164972</v>
      </c>
    </row>
    <row r="119" spans="1:13" ht="12.75">
      <c r="A119" s="7">
        <f t="shared" si="40"/>
        <v>42035</v>
      </c>
      <c r="B119" s="23">
        <f t="shared" si="51"/>
        <v>109</v>
      </c>
      <c r="C119" s="30">
        <f t="shared" si="52"/>
        <v>227.1751863850151</v>
      </c>
      <c r="D119" s="30"/>
      <c r="E119" s="30">
        <f t="shared" si="53"/>
        <v>181.00421269157482</v>
      </c>
      <c r="F119" s="29">
        <f t="shared" si="41"/>
        <v>46.17097369344029</v>
      </c>
      <c r="G119" s="30">
        <f t="shared" si="54"/>
        <v>21674.33454929554</v>
      </c>
      <c r="H119" s="25">
        <f t="shared" si="55"/>
        <v>45.251053172893705</v>
      </c>
      <c r="I119" s="33">
        <f>IF(G118&lt;0.5,"",IF(OR(YEAR(A119)&lt;YEAR(A120),G119&lt;0.5),SUM($H$11:H119)-SUM($I$11:I118),""))</f>
      </c>
      <c r="J119" s="35">
        <f t="shared" si="56"/>
        <v>21436.429865262176</v>
      </c>
      <c r="K119" s="35">
        <f t="shared" si="57"/>
        <v>3325.6654507044814</v>
      </c>
      <c r="L119" s="33">
        <f t="shared" si="42"/>
        <v>18285.404146045363</v>
      </c>
      <c r="M119" s="33">
        <f t="shared" si="58"/>
        <v>3836.044270164972</v>
      </c>
    </row>
    <row r="120" spans="1:13" ht="12.75">
      <c r="A120" s="7">
        <f t="shared" si="40"/>
        <v>42063</v>
      </c>
      <c r="B120" s="23">
        <f t="shared" si="51"/>
        <v>110</v>
      </c>
      <c r="C120" s="30">
        <f t="shared" si="52"/>
        <v>227.1751863850151</v>
      </c>
      <c r="D120" s="30"/>
      <c r="E120" s="30">
        <f t="shared" si="53"/>
        <v>180.61945457746285</v>
      </c>
      <c r="F120" s="29">
        <f t="shared" si="41"/>
        <v>46.55573180755226</v>
      </c>
      <c r="G120" s="30">
        <f t="shared" si="54"/>
        <v>21627.77881748799</v>
      </c>
      <c r="H120" s="25">
        <f t="shared" si="55"/>
        <v>45.15486364436571</v>
      </c>
      <c r="I120" s="33">
        <f>IF(G119&lt;0.5,"",IF(OR(YEAR(A120)&lt;YEAR(A121),G120&lt;0.5),SUM($H$11:H120)-SUM($I$11:I119),""))</f>
      </c>
      <c r="J120" s="35">
        <f t="shared" si="56"/>
        <v>21617.04931983964</v>
      </c>
      <c r="K120" s="35">
        <f t="shared" si="57"/>
        <v>3372.2211825120335</v>
      </c>
      <c r="L120" s="33">
        <f t="shared" si="42"/>
        <v>18405.215574910068</v>
      </c>
      <c r="M120" s="33">
        <f t="shared" si="58"/>
        <v>3836.044270164972</v>
      </c>
    </row>
    <row r="121" spans="1:13" ht="12.75">
      <c r="A121" s="7">
        <f t="shared" si="40"/>
        <v>42094</v>
      </c>
      <c r="B121" s="23">
        <f t="shared" si="51"/>
        <v>111</v>
      </c>
      <c r="C121" s="30">
        <f t="shared" si="52"/>
        <v>227.1751863850151</v>
      </c>
      <c r="D121" s="30"/>
      <c r="E121" s="30">
        <f t="shared" si="53"/>
        <v>180.23149014573323</v>
      </c>
      <c r="F121" s="29">
        <f t="shared" si="41"/>
        <v>46.94369623928188</v>
      </c>
      <c r="G121" s="30">
        <f t="shared" si="54"/>
        <v>21580.835121248707</v>
      </c>
      <c r="H121" s="25">
        <f t="shared" si="55"/>
        <v>45.05787253643331</v>
      </c>
      <c r="I121" s="33">
        <f>IF(G120&lt;0.5,"",IF(OR(YEAR(A121)&lt;YEAR(A122),G121&lt;0.5),SUM($H$11:H121)-SUM($I$11:I120),""))</f>
      </c>
      <c r="J121" s="35">
        <f t="shared" si="56"/>
        <v>21797.280809985372</v>
      </c>
      <c r="K121" s="35">
        <f t="shared" si="57"/>
        <v>3419.1648787513154</v>
      </c>
      <c r="L121" s="33">
        <f t="shared" si="42"/>
        <v>18524.33215704565</v>
      </c>
      <c r="M121" s="33">
        <f t="shared" si="58"/>
        <v>3836.044270164972</v>
      </c>
    </row>
    <row r="122" spans="1:13" ht="12.75">
      <c r="A122" s="7">
        <f t="shared" si="40"/>
        <v>42124</v>
      </c>
      <c r="B122" s="23">
        <f t="shared" si="51"/>
        <v>112</v>
      </c>
      <c r="C122" s="30">
        <f t="shared" si="52"/>
        <v>227.1751863850151</v>
      </c>
      <c r="D122" s="30"/>
      <c r="E122" s="30">
        <f t="shared" si="53"/>
        <v>179.84029267707257</v>
      </c>
      <c r="F122" s="29">
        <f t="shared" si="41"/>
        <v>47.33489370794254</v>
      </c>
      <c r="G122" s="30">
        <f t="shared" si="54"/>
        <v>21533.500227540764</v>
      </c>
      <c r="H122" s="25">
        <f t="shared" si="55"/>
        <v>44.96007316926814</v>
      </c>
      <c r="I122" s="33">
        <f>IF(G121&lt;0.5,"",IF(OR(YEAR(A122)&lt;YEAR(A123),G122&lt;0.5),SUM($H$11:H122)-SUM($I$11:I121),""))</f>
      </c>
      <c r="J122" s="35">
        <f t="shared" si="56"/>
        <v>21977.121102662444</v>
      </c>
      <c r="K122" s="35">
        <f t="shared" si="57"/>
        <v>3466.499772459258</v>
      </c>
      <c r="L122" s="33">
        <f t="shared" si="42"/>
        <v>18642.757922217726</v>
      </c>
      <c r="M122" s="33">
        <f t="shared" si="58"/>
        <v>3836.044270164972</v>
      </c>
    </row>
    <row r="123" spans="1:13" ht="12.75">
      <c r="A123" s="7">
        <f t="shared" si="40"/>
        <v>42155</v>
      </c>
      <c r="B123" s="23">
        <f t="shared" si="51"/>
        <v>113</v>
      </c>
      <c r="C123" s="30">
        <f t="shared" si="52"/>
        <v>227.1751863850151</v>
      </c>
      <c r="D123" s="30"/>
      <c r="E123" s="30">
        <f t="shared" si="53"/>
        <v>179.44583522950637</v>
      </c>
      <c r="F123" s="29">
        <f t="shared" si="41"/>
        <v>47.72935115550874</v>
      </c>
      <c r="G123" s="30">
        <f t="shared" si="54"/>
        <v>21485.770876385257</v>
      </c>
      <c r="H123" s="25">
        <f t="shared" si="55"/>
        <v>44.86145880737659</v>
      </c>
      <c r="I123" s="33">
        <f>IF(G122&lt;0.5,"",IF(OR(YEAR(A123)&lt;YEAR(A124),G123&lt;0.5),SUM($H$11:H123)-SUM($I$11:I122),""))</f>
      </c>
      <c r="J123" s="35">
        <f t="shared" si="56"/>
        <v>22156.566937891952</v>
      </c>
      <c r="K123" s="35">
        <f t="shared" si="57"/>
        <v>3514.2291236147666</v>
      </c>
      <c r="L123" s="33">
        <f t="shared" si="42"/>
        <v>18760.496876821282</v>
      </c>
      <c r="M123" s="33">
        <f t="shared" si="58"/>
        <v>3836.044270164972</v>
      </c>
    </row>
    <row r="124" spans="1:13" ht="12.75">
      <c r="A124" s="7">
        <f t="shared" si="40"/>
        <v>42185</v>
      </c>
      <c r="B124" s="23">
        <f aca="true" t="shared" si="59" ref="B124:B139">B123+1</f>
        <v>114</v>
      </c>
      <c r="C124" s="30">
        <f aca="true" t="shared" si="60" ref="C124:C139">IF(G123&gt;0.5,C123,"")</f>
        <v>227.1751863850151</v>
      </c>
      <c r="D124" s="30"/>
      <c r="E124" s="30">
        <f aca="true" t="shared" si="61" ref="E124:E139">IF(G123&gt;0.5,$J$3*G123,"")</f>
        <v>179.0480906365438</v>
      </c>
      <c r="F124" s="29">
        <f t="shared" si="41"/>
        <v>48.127095748471305</v>
      </c>
      <c r="G124" s="30">
        <f aca="true" t="shared" si="62" ref="G124:G139">IF(G123&gt;0.5,G123-F124,0)</f>
        <v>21437.643780636787</v>
      </c>
      <c r="H124" s="25">
        <f t="shared" si="55"/>
        <v>44.76202265913595</v>
      </c>
      <c r="I124" s="33">
        <f>IF(G123&lt;0.5,"",IF(OR(YEAR(A124)&lt;YEAR(A125),G124&lt;0.5),SUM($H$11:H124)-SUM($I$11:I123),""))</f>
      </c>
      <c r="J124" s="35">
        <f aca="true" t="shared" si="63" ref="J124:J139">IF(G123&gt;0.5,J123+E124,"")</f>
        <v>22335.615028528497</v>
      </c>
      <c r="K124" s="35">
        <f aca="true" t="shared" si="64" ref="K124:K139">IF(G123&gt;0.5,K123+F124,"")</f>
        <v>3562.356219363238</v>
      </c>
      <c r="L124" s="33">
        <f t="shared" si="42"/>
        <v>18877.5530040162</v>
      </c>
      <c r="M124" s="33">
        <f t="shared" si="58"/>
        <v>3836.044270164972</v>
      </c>
    </row>
    <row r="125" spans="1:13" ht="12.75">
      <c r="A125" s="7">
        <f t="shared" si="40"/>
        <v>42216</v>
      </c>
      <c r="B125" s="23">
        <f t="shared" si="59"/>
        <v>115</v>
      </c>
      <c r="C125" s="30">
        <f t="shared" si="60"/>
        <v>227.1751863850151</v>
      </c>
      <c r="D125" s="30"/>
      <c r="E125" s="30">
        <f t="shared" si="61"/>
        <v>178.64703150530656</v>
      </c>
      <c r="F125" s="29">
        <f t="shared" si="41"/>
        <v>48.52815487970855</v>
      </c>
      <c r="G125" s="30">
        <f t="shared" si="62"/>
        <v>21389.115625757076</v>
      </c>
      <c r="H125" s="25">
        <f t="shared" si="55"/>
        <v>44.66175787632664</v>
      </c>
      <c r="I125" s="33">
        <f>IF(G124&lt;0.5,"",IF(OR(YEAR(A125)&lt;YEAR(A126),G125&lt;0.5),SUM($H$11:H125)-SUM($I$11:I124),""))</f>
      </c>
      <c r="J125" s="35">
        <f t="shared" si="63"/>
        <v>22514.2620600338</v>
      </c>
      <c r="K125" s="35">
        <f t="shared" si="64"/>
        <v>3610.8843742429463</v>
      </c>
      <c r="L125" s="33">
        <f t="shared" si="42"/>
        <v>18993.93026386202</v>
      </c>
      <c r="M125" s="33">
        <f aca="true" t="shared" si="65" ref="M125:M140">IF(G124&lt;0.5,"",IF(I125="",M124,I125/(1+$J$4)^B125+M124))</f>
        <v>3836.044270164972</v>
      </c>
    </row>
    <row r="126" spans="1:13" ht="12.75">
      <c r="A126" s="7">
        <f t="shared" si="40"/>
        <v>42247</v>
      </c>
      <c r="B126" s="23">
        <f t="shared" si="59"/>
        <v>116</v>
      </c>
      <c r="C126" s="30">
        <f t="shared" si="60"/>
        <v>227.1751863850151</v>
      </c>
      <c r="D126" s="30"/>
      <c r="E126" s="30">
        <f t="shared" si="61"/>
        <v>178.2426302146423</v>
      </c>
      <c r="F126" s="29">
        <f t="shared" si="41"/>
        <v>48.932556170372806</v>
      </c>
      <c r="G126" s="30">
        <f t="shared" si="62"/>
        <v>21340.183069586703</v>
      </c>
      <c r="H126" s="25">
        <f t="shared" si="55"/>
        <v>44.560657553660576</v>
      </c>
      <c r="I126" s="33">
        <f>IF(G125&lt;0.5,"",IF(OR(YEAR(A126)&lt;YEAR(A127),G126&lt;0.5),SUM($H$11:H126)-SUM($I$11:I125),""))</f>
      </c>
      <c r="J126" s="35">
        <f t="shared" si="63"/>
        <v>22692.504690248443</v>
      </c>
      <c r="K126" s="35">
        <f t="shared" si="64"/>
        <v>3659.816930413319</v>
      </c>
      <c r="L126" s="33">
        <f t="shared" si="42"/>
        <v>19109.6325934519</v>
      </c>
      <c r="M126" s="33">
        <f t="shared" si="65"/>
        <v>3836.044270164972</v>
      </c>
    </row>
    <row r="127" spans="1:13" ht="12.75">
      <c r="A127" s="7">
        <f t="shared" si="40"/>
        <v>42277</v>
      </c>
      <c r="B127" s="23">
        <f t="shared" si="59"/>
        <v>117</v>
      </c>
      <c r="C127" s="30">
        <f t="shared" si="60"/>
        <v>227.1751863850151</v>
      </c>
      <c r="D127" s="30"/>
      <c r="E127" s="30">
        <f t="shared" si="61"/>
        <v>177.83485891322252</v>
      </c>
      <c r="F127" s="29">
        <f t="shared" si="41"/>
        <v>49.34032747179259</v>
      </c>
      <c r="G127" s="30">
        <f t="shared" si="62"/>
        <v>21290.84274211491</v>
      </c>
      <c r="H127" s="25">
        <f t="shared" si="55"/>
        <v>44.45871472830563</v>
      </c>
      <c r="I127" s="33">
        <f>IF(G126&lt;0.5,"",IF(OR(YEAR(A127)&lt;YEAR(A128),G127&lt;0.5),SUM($H$11:H127)-SUM($I$11:I126),""))</f>
      </c>
      <c r="J127" s="35">
        <f t="shared" si="63"/>
        <v>22870.339549161665</v>
      </c>
      <c r="K127" s="35">
        <f t="shared" si="64"/>
        <v>3709.1572578851114</v>
      </c>
      <c r="L127" s="33">
        <f t="shared" si="42"/>
        <v>19224.663907045815</v>
      </c>
      <c r="M127" s="33">
        <f t="shared" si="65"/>
        <v>3836.044270164972</v>
      </c>
    </row>
    <row r="128" spans="1:13" ht="12.75">
      <c r="A128" s="7">
        <f t="shared" si="40"/>
        <v>42308</v>
      </c>
      <c r="B128" s="23">
        <f t="shared" si="59"/>
        <v>118</v>
      </c>
      <c r="C128" s="30">
        <f t="shared" si="60"/>
        <v>227.1751863850151</v>
      </c>
      <c r="D128" s="30"/>
      <c r="E128" s="30">
        <f t="shared" si="61"/>
        <v>177.42368951762424</v>
      </c>
      <c r="F128" s="29">
        <f t="shared" si="41"/>
        <v>49.75149686739087</v>
      </c>
      <c r="G128" s="30">
        <f t="shared" si="62"/>
        <v>21241.09124524752</v>
      </c>
      <c r="H128" s="25">
        <f t="shared" si="55"/>
        <v>44.35592237940606</v>
      </c>
      <c r="I128" s="33">
        <f>IF(G127&lt;0.5,"",IF(OR(YEAR(A128)&lt;YEAR(A129),G128&lt;0.5),SUM($H$11:H128)-SUM($I$11:I127),""))</f>
      </c>
      <c r="J128" s="35">
        <f t="shared" si="63"/>
        <v>23047.76323867929</v>
      </c>
      <c r="K128" s="35">
        <f t="shared" si="64"/>
        <v>3758.9087547525023</v>
      </c>
      <c r="L128" s="33">
        <f t="shared" si="42"/>
        <v>19339.02809620298</v>
      </c>
      <c r="M128" s="33">
        <f t="shared" si="65"/>
        <v>3836.044270164972</v>
      </c>
    </row>
    <row r="129" spans="1:13" ht="12.75">
      <c r="A129" s="7">
        <f t="shared" si="40"/>
        <v>42338</v>
      </c>
      <c r="B129" s="23">
        <f t="shared" si="59"/>
        <v>119</v>
      </c>
      <c r="C129" s="30">
        <f t="shared" si="60"/>
        <v>227.1751863850151</v>
      </c>
      <c r="D129" s="30"/>
      <c r="E129" s="30">
        <f t="shared" si="61"/>
        <v>177.009093710396</v>
      </c>
      <c r="F129" s="29">
        <f t="shared" si="41"/>
        <v>50.16609267461911</v>
      </c>
      <c r="G129" s="30">
        <f t="shared" si="62"/>
        <v>21190.9251525729</v>
      </c>
      <c r="H129" s="25">
        <f t="shared" si="55"/>
        <v>44.252273427599</v>
      </c>
      <c r="I129" s="33">
        <f>IF(G128&lt;0.5,"",IF(OR(YEAR(A129)&lt;YEAR(A130),G129&lt;0.5),SUM($H$11:H129)-SUM($I$11:I128),""))</f>
      </c>
      <c r="J129" s="35">
        <f t="shared" si="63"/>
        <v>23224.772332389686</v>
      </c>
      <c r="K129" s="35">
        <f t="shared" si="64"/>
        <v>3809.0748474271213</v>
      </c>
      <c r="L129" s="33">
        <f t="shared" si="42"/>
        <v>19452.7290299135</v>
      </c>
      <c r="M129" s="33">
        <f t="shared" si="65"/>
        <v>3836.044270164972</v>
      </c>
    </row>
    <row r="130" spans="1:13" ht="12.75">
      <c r="A130" s="7">
        <f t="shared" si="40"/>
        <v>42369</v>
      </c>
      <c r="B130" s="23">
        <f t="shared" si="59"/>
        <v>120</v>
      </c>
      <c r="C130" s="30">
        <f t="shared" si="60"/>
        <v>227.1751863850151</v>
      </c>
      <c r="D130" s="30"/>
      <c r="E130" s="30">
        <f t="shared" si="61"/>
        <v>176.5910429381075</v>
      </c>
      <c r="F130" s="29">
        <f t="shared" si="41"/>
        <v>50.5841434469076</v>
      </c>
      <c r="G130" s="30">
        <f t="shared" si="62"/>
        <v>21140.341009125994</v>
      </c>
      <c r="H130" s="25">
        <f t="shared" si="55"/>
        <v>44.14776073452688</v>
      </c>
      <c r="I130" s="33">
        <f>IF(G129&lt;0.5,"",IF(OR(YEAR(A130)&lt;YEAR(A131),G130&lt;0.5),SUM($H$11:H130)-SUM($I$11:I129),""))</f>
        <v>536.4844306892983</v>
      </c>
      <c r="J130" s="35">
        <f t="shared" si="63"/>
        <v>23401.363375327794</v>
      </c>
      <c r="K130" s="35">
        <f t="shared" si="64"/>
        <v>3859.658990874029</v>
      </c>
      <c r="L130" s="33">
        <f t="shared" si="42"/>
        <v>19565.77055472926</v>
      </c>
      <c r="M130" s="33">
        <f t="shared" si="65"/>
        <v>4102.996920452459</v>
      </c>
    </row>
    <row r="131" spans="1:13" ht="12.75">
      <c r="A131" s="7">
        <f t="shared" si="40"/>
        <v>42400</v>
      </c>
      <c r="B131" s="23">
        <f t="shared" si="59"/>
        <v>121</v>
      </c>
      <c r="C131" s="30">
        <f t="shared" si="60"/>
        <v>227.1751863850151</v>
      </c>
      <c r="D131" s="30"/>
      <c r="E131" s="30">
        <f t="shared" si="61"/>
        <v>176.16950840938327</v>
      </c>
      <c r="F131" s="29">
        <f t="shared" si="41"/>
        <v>51.00567797563184</v>
      </c>
      <c r="G131" s="30">
        <f t="shared" si="62"/>
        <v>21089.335331150363</v>
      </c>
      <c r="H131" s="25">
        <f t="shared" si="55"/>
        <v>44.04237710234582</v>
      </c>
      <c r="I131" s="33">
        <f>IF(G130&lt;0.5,"",IF(OR(YEAR(A131)&lt;YEAR(A132),G131&lt;0.5),SUM($H$11:H131)-SUM($I$11:I130),""))</f>
      </c>
      <c r="J131" s="35">
        <f t="shared" si="63"/>
        <v>23577.532883737178</v>
      </c>
      <c r="K131" s="35">
        <f t="shared" si="64"/>
        <v>3910.6646688496608</v>
      </c>
      <c r="L131" s="33">
        <f t="shared" si="42"/>
        <v>19678.15649489406</v>
      </c>
      <c r="M131" s="33">
        <f t="shared" si="65"/>
        <v>4102.996920452459</v>
      </c>
    </row>
    <row r="132" spans="1:13" ht="12.75">
      <c r="A132" s="7">
        <f t="shared" si="40"/>
        <v>42429</v>
      </c>
      <c r="B132" s="23">
        <f t="shared" si="59"/>
        <v>122</v>
      </c>
      <c r="C132" s="30">
        <f t="shared" si="60"/>
        <v>227.1751863850151</v>
      </c>
      <c r="D132" s="30"/>
      <c r="E132" s="30">
        <f t="shared" si="61"/>
        <v>175.7444610929197</v>
      </c>
      <c r="F132" s="29">
        <f t="shared" si="41"/>
        <v>51.43072529209542</v>
      </c>
      <c r="G132" s="30">
        <f t="shared" si="62"/>
        <v>21037.904605858268</v>
      </c>
      <c r="H132" s="25">
        <f t="shared" si="55"/>
        <v>43.93611527322992</v>
      </c>
      <c r="I132" s="33">
        <f>IF(G131&lt;0.5,"",IF(OR(YEAR(A132)&lt;YEAR(A133),G132&lt;0.5),SUM($H$11:H132)-SUM($I$11:I131),""))</f>
      </c>
      <c r="J132" s="35">
        <f t="shared" si="63"/>
        <v>23753.277344830098</v>
      </c>
      <c r="K132" s="35">
        <f t="shared" si="64"/>
        <v>3962.095394141756</v>
      </c>
      <c r="L132" s="33">
        <f t="shared" si="42"/>
        <v>19789.890652472983</v>
      </c>
      <c r="M132" s="33">
        <f t="shared" si="65"/>
        <v>4102.996920452459</v>
      </c>
    </row>
    <row r="133" spans="1:13" ht="12.75">
      <c r="A133" s="7">
        <f t="shared" si="40"/>
        <v>42460</v>
      </c>
      <c r="B133" s="23">
        <f t="shared" si="59"/>
        <v>123</v>
      </c>
      <c r="C133" s="30">
        <f t="shared" si="60"/>
        <v>227.1751863850151</v>
      </c>
      <c r="D133" s="30"/>
      <c r="E133" s="30">
        <f t="shared" si="61"/>
        <v>175.31587171548557</v>
      </c>
      <c r="F133" s="29">
        <f t="shared" si="41"/>
        <v>51.85931466952954</v>
      </c>
      <c r="G133" s="30">
        <f t="shared" si="62"/>
        <v>20986.045291188737</v>
      </c>
      <c r="H133" s="25">
        <f t="shared" si="55"/>
        <v>43.82896792887139</v>
      </c>
      <c r="I133" s="33">
        <f>IF(G132&lt;0.5,"",IF(OR(YEAR(A133)&lt;YEAR(A134),G133&lt;0.5),SUM($H$11:H133)-SUM($I$11:I132),""))</f>
      </c>
      <c r="J133" s="35">
        <f t="shared" si="63"/>
        <v>23928.59321654558</v>
      </c>
      <c r="K133" s="35">
        <f t="shared" si="64"/>
        <v>4013.9547088112854</v>
      </c>
      <c r="L133" s="33">
        <f t="shared" si="42"/>
        <v>19900.976807481024</v>
      </c>
      <c r="M133" s="33">
        <f t="shared" si="65"/>
        <v>4102.996920452459</v>
      </c>
    </row>
    <row r="134" spans="1:13" ht="12.75">
      <c r="A134" s="7">
        <f t="shared" si="40"/>
        <v>42490</v>
      </c>
      <c r="B134" s="23">
        <f t="shared" si="59"/>
        <v>124</v>
      </c>
      <c r="C134" s="30">
        <f t="shared" si="60"/>
        <v>227.1751863850151</v>
      </c>
      <c r="D134" s="30"/>
      <c r="E134" s="30">
        <f t="shared" si="61"/>
        <v>174.88371075990614</v>
      </c>
      <c r="F134" s="29">
        <f t="shared" si="41"/>
        <v>52.29147562510897</v>
      </c>
      <c r="G134" s="30">
        <f t="shared" si="62"/>
        <v>20933.75381556363</v>
      </c>
      <c r="H134" s="25">
        <f t="shared" si="55"/>
        <v>43.720927689976534</v>
      </c>
      <c r="I134" s="33">
        <f>IF(G133&lt;0.5,"",IF(OR(YEAR(A134)&lt;YEAR(A135),G134&lt;0.5),SUM($H$11:H134)-SUM($I$11:I133),""))</f>
      </c>
      <c r="J134" s="35">
        <f t="shared" si="63"/>
        <v>24103.476927305488</v>
      </c>
      <c r="K134" s="35">
        <f t="shared" si="64"/>
        <v>4066.2461844363943</v>
      </c>
      <c r="L134" s="33">
        <f t="shared" si="42"/>
        <v>20011.418718010973</v>
      </c>
      <c r="M134" s="33">
        <f t="shared" si="65"/>
        <v>4102.996920452459</v>
      </c>
    </row>
    <row r="135" spans="1:13" ht="12.75">
      <c r="A135" s="7">
        <f t="shared" si="40"/>
        <v>42521</v>
      </c>
      <c r="B135" s="23">
        <f t="shared" si="59"/>
        <v>125</v>
      </c>
      <c r="C135" s="30">
        <f t="shared" si="60"/>
        <v>227.1751863850151</v>
      </c>
      <c r="D135" s="30"/>
      <c r="E135" s="30">
        <f t="shared" si="61"/>
        <v>174.44794846303023</v>
      </c>
      <c r="F135" s="29">
        <f t="shared" si="41"/>
        <v>52.72723792198488</v>
      </c>
      <c r="G135" s="30">
        <f t="shared" si="62"/>
        <v>20881.02657764164</v>
      </c>
      <c r="H135" s="25">
        <f t="shared" si="55"/>
        <v>43.61198711575756</v>
      </c>
      <c r="I135" s="33">
        <f>IF(G134&lt;0.5,"",IF(OR(YEAR(A135)&lt;YEAR(A136),G135&lt;0.5),SUM($H$11:H135)-SUM($I$11:I134),""))</f>
      </c>
      <c r="J135" s="35">
        <f t="shared" si="63"/>
        <v>24277.92487576852</v>
      </c>
      <c r="K135" s="35">
        <f t="shared" si="64"/>
        <v>4118.973422358379</v>
      </c>
      <c r="L135" s="33">
        <f t="shared" si="42"/>
        <v>20121.22012036055</v>
      </c>
      <c r="M135" s="33">
        <f t="shared" si="65"/>
        <v>4102.996920452459</v>
      </c>
    </row>
    <row r="136" spans="1:13" ht="12.75">
      <c r="A136" s="7">
        <f t="shared" si="40"/>
        <v>42551</v>
      </c>
      <c r="B136" s="23">
        <f t="shared" si="59"/>
        <v>126</v>
      </c>
      <c r="C136" s="30">
        <f t="shared" si="60"/>
        <v>227.1751863850151</v>
      </c>
      <c r="D136" s="30"/>
      <c r="E136" s="30">
        <f t="shared" si="61"/>
        <v>174.00855481368035</v>
      </c>
      <c r="F136" s="29">
        <f t="shared" si="41"/>
        <v>53.16663157133476</v>
      </c>
      <c r="G136" s="30">
        <f t="shared" si="62"/>
        <v>20827.859946070308</v>
      </c>
      <c r="H136" s="25">
        <f t="shared" si="55"/>
        <v>43.50213870342009</v>
      </c>
      <c r="I136" s="33">
        <f>IF(G135&lt;0.5,"",IF(OR(YEAR(A136)&lt;YEAR(A137),G136&lt;0.5),SUM($H$11:H136)-SUM($I$11:I135),""))</f>
      </c>
      <c r="J136" s="35">
        <f t="shared" si="63"/>
        <v>24451.9334305822</v>
      </c>
      <c r="K136" s="35">
        <f t="shared" si="64"/>
        <v>4172.140053929714</v>
      </c>
      <c r="L136" s="33">
        <f t="shared" si="42"/>
        <v>20230.384729158806</v>
      </c>
      <c r="M136" s="33">
        <f t="shared" si="65"/>
        <v>4102.996920452459</v>
      </c>
    </row>
    <row r="137" spans="1:13" ht="12.75">
      <c r="A137" s="7">
        <f t="shared" si="40"/>
        <v>42582</v>
      </c>
      <c r="B137" s="23">
        <f t="shared" si="59"/>
        <v>127</v>
      </c>
      <c r="C137" s="30">
        <f t="shared" si="60"/>
        <v>227.1751863850151</v>
      </c>
      <c r="D137" s="30"/>
      <c r="E137" s="30">
        <f t="shared" si="61"/>
        <v>173.5654995505859</v>
      </c>
      <c r="F137" s="29">
        <f t="shared" si="41"/>
        <v>53.6096868344292</v>
      </c>
      <c r="G137" s="30">
        <f t="shared" si="62"/>
        <v>20774.25025923588</v>
      </c>
      <c r="H137" s="25">
        <f t="shared" si="55"/>
        <v>43.39137488764648</v>
      </c>
      <c r="I137" s="33">
        <f>IF(G136&lt;0.5,"",IF(OR(YEAR(A137)&lt;YEAR(A138),G137&lt;0.5),SUM($H$11:H137)-SUM($I$11:I136),""))</f>
      </c>
      <c r="J137" s="35">
        <f t="shared" si="63"/>
        <v>24625.498930132788</v>
      </c>
      <c r="K137" s="35">
        <f t="shared" si="64"/>
        <v>4225.749740764143</v>
      </c>
      <c r="L137" s="33">
        <f t="shared" si="42"/>
        <v>20338.916237491787</v>
      </c>
      <c r="M137" s="33">
        <f t="shared" si="65"/>
        <v>4102.996920452459</v>
      </c>
    </row>
    <row r="138" spans="1:13" ht="12.75">
      <c r="A138" s="7">
        <f t="shared" si="40"/>
        <v>42613</v>
      </c>
      <c r="B138" s="23">
        <f t="shared" si="59"/>
        <v>128</v>
      </c>
      <c r="C138" s="30">
        <f t="shared" si="60"/>
        <v>227.1751863850151</v>
      </c>
      <c r="D138" s="30"/>
      <c r="E138" s="30">
        <f t="shared" si="61"/>
        <v>173.11875216029898</v>
      </c>
      <c r="F138" s="29">
        <f t="shared" si="41"/>
        <v>54.05643422471613</v>
      </c>
      <c r="G138" s="30">
        <f t="shared" si="62"/>
        <v>20720.193825011163</v>
      </c>
      <c r="H138" s="25">
        <f t="shared" si="55"/>
        <v>43.279688040074745</v>
      </c>
      <c r="I138" s="33">
        <f>IF(G137&lt;0.5,"",IF(OR(YEAR(A138)&lt;YEAR(A139),G138&lt;0.5),SUM($H$11:H138)-SUM($I$11:I137),""))</f>
      </c>
      <c r="J138" s="35">
        <f t="shared" si="63"/>
        <v>24798.617682293087</v>
      </c>
      <c r="K138" s="35">
        <f t="shared" si="64"/>
        <v>4279.806174988859</v>
      </c>
      <c r="L138" s="33">
        <f t="shared" si="42"/>
        <v>20446.818317027475</v>
      </c>
      <c r="M138" s="33">
        <f t="shared" si="65"/>
        <v>4102.996920452459</v>
      </c>
    </row>
    <row r="139" spans="1:13" ht="12.75">
      <c r="A139" s="7">
        <f t="shared" si="40"/>
        <v>42643</v>
      </c>
      <c r="B139" s="23">
        <f t="shared" si="59"/>
        <v>129</v>
      </c>
      <c r="C139" s="30">
        <f t="shared" si="60"/>
        <v>227.1751863850151</v>
      </c>
      <c r="D139" s="30"/>
      <c r="E139" s="30">
        <f t="shared" si="61"/>
        <v>172.66828187509302</v>
      </c>
      <c r="F139" s="29">
        <f t="shared" si="41"/>
        <v>54.506904509922094</v>
      </c>
      <c r="G139" s="30">
        <f t="shared" si="62"/>
        <v>20665.68692050124</v>
      </c>
      <c r="H139" s="25">
        <f t="shared" si="55"/>
        <v>43.167070468773254</v>
      </c>
      <c r="I139" s="33">
        <f>IF(G138&lt;0.5,"",IF(OR(YEAR(A139)&lt;YEAR(A140),G139&lt;0.5),SUM($H$11:H139)-SUM($I$11:I138),""))</f>
      </c>
      <c r="J139" s="35">
        <f t="shared" si="63"/>
        <v>24971.28596416818</v>
      </c>
      <c r="K139" s="35">
        <f t="shared" si="64"/>
        <v>4334.313079498781</v>
      </c>
      <c r="L139" s="33">
        <f t="shared" si="42"/>
        <v>20554.094618140007</v>
      </c>
      <c r="M139" s="33">
        <f t="shared" si="65"/>
        <v>4102.996920452459</v>
      </c>
    </row>
    <row r="140" spans="1:13" ht="12.75">
      <c r="A140" s="7">
        <f t="shared" si="40"/>
        <v>42674</v>
      </c>
      <c r="B140" s="23">
        <f aca="true" t="shared" si="66" ref="B140:B155">B139+1</f>
        <v>130</v>
      </c>
      <c r="C140" s="30">
        <f aca="true" t="shared" si="67" ref="C140:C155">IF(G139&gt;0.5,C139,"")</f>
        <v>227.1751863850151</v>
      </c>
      <c r="D140" s="30"/>
      <c r="E140" s="30">
        <f aca="true" t="shared" si="68" ref="E140:E155">IF(G139&gt;0.5,$J$3*G139,"")</f>
        <v>172.21405767084366</v>
      </c>
      <c r="F140" s="29">
        <f t="shared" si="41"/>
        <v>54.96112871417145</v>
      </c>
      <c r="G140" s="30">
        <f aca="true" t="shared" si="69" ref="G140:G155">IF(G139&gt;0.5,G139-F140,0)</f>
        <v>20610.72579178707</v>
      </c>
      <c r="H140" s="25">
        <f aca="true" t="shared" si="70" ref="H140:H171">IF(G139&gt;0.5,E140*$J$5,"")</f>
        <v>43.053514417710915</v>
      </c>
      <c r="I140" s="33">
        <f>IF(G139&lt;0.5,"",IF(OR(YEAR(A140)&lt;YEAR(A141),G140&lt;0.5),SUM($H$11:H140)-SUM($I$11:I139),""))</f>
      </c>
      <c r="J140" s="35">
        <f aca="true" t="shared" si="71" ref="J140:J155">IF(G139&gt;0.5,J139+E140,"")</f>
        <v>25143.500021839023</v>
      </c>
      <c r="K140" s="35">
        <f aca="true" t="shared" si="72" ref="K140:K155">IF(G139&gt;0.5,K139+F140,"")</f>
        <v>4389.2742082129525</v>
      </c>
      <c r="L140" s="33">
        <f t="shared" si="42"/>
        <v>20660.748770033162</v>
      </c>
      <c r="M140" s="33">
        <f t="shared" si="65"/>
        <v>4102.996920452459</v>
      </c>
    </row>
    <row r="141" spans="1:13" ht="12.75">
      <c r="A141" s="7">
        <f aca="true" t="shared" si="73" ref="A141:A204">IF($C$6&lt;27,DATE((YEAR(A140)-1900),MONTH(A140)+1,$C$6),DATE((YEAR(A140)-1900),MONTH(A140)+2,1)-1)</f>
        <v>42704</v>
      </c>
      <c r="B141" s="23">
        <f t="shared" si="66"/>
        <v>131</v>
      </c>
      <c r="C141" s="30">
        <f t="shared" si="67"/>
        <v>227.1751863850151</v>
      </c>
      <c r="D141" s="30"/>
      <c r="E141" s="30">
        <f t="shared" si="68"/>
        <v>171.75604826489226</v>
      </c>
      <c r="F141" s="29">
        <f aca="true" t="shared" si="74" ref="F141:F204">IF(G140&gt;0.5,C141-E141+D141,"")</f>
        <v>55.41913812012285</v>
      </c>
      <c r="G141" s="30">
        <f t="shared" si="69"/>
        <v>20555.306653666947</v>
      </c>
      <c r="H141" s="25">
        <f t="shared" si="70"/>
        <v>42.939012066223064</v>
      </c>
      <c r="I141" s="33">
        <f>IF(G140&lt;0.5,"",IF(OR(YEAR(A141)&lt;YEAR(A142),G141&lt;0.5),SUM($H$11:H141)-SUM($I$11:I140),""))</f>
      </c>
      <c r="J141" s="35">
        <f t="shared" si="71"/>
        <v>25315.256070103915</v>
      </c>
      <c r="K141" s="35">
        <f t="shared" si="72"/>
        <v>4444.693346333075</v>
      </c>
      <c r="L141" s="33">
        <f aca="true" t="shared" si="75" ref="L141:L204">IF(G140&gt;0.5,(C141+D141)/(1+$J$4)^B141+L140,"")</f>
        <v>20766.78438086314</v>
      </c>
      <c r="M141" s="33">
        <f aca="true" t="shared" si="76" ref="M141:M156">IF(G140&lt;0.5,"",IF(I141="",M140,I141/(1+$J$4)^B141+M140))</f>
        <v>4102.996920452459</v>
      </c>
    </row>
    <row r="142" spans="1:13" ht="12.75">
      <c r="A142" s="7">
        <f t="shared" si="73"/>
        <v>42735</v>
      </c>
      <c r="B142" s="23">
        <f t="shared" si="66"/>
        <v>132</v>
      </c>
      <c r="C142" s="30">
        <f t="shared" si="67"/>
        <v>227.1751863850151</v>
      </c>
      <c r="D142" s="30"/>
      <c r="E142" s="30">
        <f t="shared" si="68"/>
        <v>171.2942221138912</v>
      </c>
      <c r="F142" s="29">
        <f t="shared" si="74"/>
        <v>55.8809642711239</v>
      </c>
      <c r="G142" s="30">
        <f t="shared" si="69"/>
        <v>20499.425689395823</v>
      </c>
      <c r="H142" s="25">
        <f t="shared" si="70"/>
        <v>42.8235555284728</v>
      </c>
      <c r="I142" s="33">
        <f>IF(G141&lt;0.5,"",IF(OR(YEAR(A142)&lt;YEAR(A143),G142&lt;0.5),SUM($H$11:H142)-SUM($I$11:I141),""))</f>
        <v>521.296729222503</v>
      </c>
      <c r="J142" s="35">
        <f t="shared" si="71"/>
        <v>25486.550292217806</v>
      </c>
      <c r="K142" s="35">
        <f t="shared" si="72"/>
        <v>4500.574310604199</v>
      </c>
      <c r="L142" s="33">
        <f t="shared" si="75"/>
        <v>20872.205037860636</v>
      </c>
      <c r="M142" s="33">
        <f t="shared" si="76"/>
        <v>4344.904694623459</v>
      </c>
    </row>
    <row r="143" spans="1:13" ht="12.75">
      <c r="A143" s="7">
        <f t="shared" si="73"/>
        <v>42766</v>
      </c>
      <c r="B143" s="23">
        <f t="shared" si="66"/>
        <v>133</v>
      </c>
      <c r="C143" s="30">
        <f t="shared" si="67"/>
        <v>227.1751863850151</v>
      </c>
      <c r="D143" s="30"/>
      <c r="E143" s="30">
        <f t="shared" si="68"/>
        <v>170.82854741163186</v>
      </c>
      <c r="F143" s="29">
        <f t="shared" si="74"/>
        <v>56.34663897338325</v>
      </c>
      <c r="G143" s="30">
        <f t="shared" si="69"/>
        <v>20443.07905042244</v>
      </c>
      <c r="H143" s="25">
        <f t="shared" si="70"/>
        <v>42.707136852907965</v>
      </c>
      <c r="I143" s="33">
        <f>IF(G142&lt;0.5,"",IF(OR(YEAR(A143)&lt;YEAR(A144),G143&lt;0.5),SUM($H$11:H143)-SUM($I$11:I142),""))</f>
      </c>
      <c r="J143" s="35">
        <f t="shared" si="71"/>
        <v>25657.378839629437</v>
      </c>
      <c r="K143" s="35">
        <f t="shared" si="72"/>
        <v>4556.920949577582</v>
      </c>
      <c r="L143" s="33">
        <f t="shared" si="75"/>
        <v>20977.01430745218</v>
      </c>
      <c r="M143" s="33">
        <f t="shared" si="76"/>
        <v>4344.904694623459</v>
      </c>
    </row>
    <row r="144" spans="1:13" ht="12.75">
      <c r="A144" s="7">
        <f t="shared" si="73"/>
        <v>42794</v>
      </c>
      <c r="B144" s="23">
        <f t="shared" si="66"/>
        <v>134</v>
      </c>
      <c r="C144" s="30">
        <f t="shared" si="67"/>
        <v>227.1751863850151</v>
      </c>
      <c r="D144" s="30"/>
      <c r="E144" s="30">
        <f t="shared" si="68"/>
        <v>170.35899208685365</v>
      </c>
      <c r="F144" s="29">
        <f t="shared" si="74"/>
        <v>56.81619429816146</v>
      </c>
      <c r="G144" s="30">
        <f t="shared" si="69"/>
        <v>20386.26285612428</v>
      </c>
      <c r="H144" s="25">
        <f t="shared" si="70"/>
        <v>42.58974802171341</v>
      </c>
      <c r="I144" s="33">
        <f>IF(G143&lt;0.5,"",IF(OR(YEAR(A144)&lt;YEAR(A145),G144&lt;0.5),SUM($H$11:H144)-SUM($I$11:I143),""))</f>
      </c>
      <c r="J144" s="35">
        <f t="shared" si="71"/>
        <v>25827.73783171629</v>
      </c>
      <c r="K144" s="35">
        <f t="shared" si="72"/>
        <v>4613.737143875744</v>
      </c>
      <c r="L144" s="33">
        <f t="shared" si="75"/>
        <v>21081.215735380807</v>
      </c>
      <c r="M144" s="33">
        <f t="shared" si="76"/>
        <v>4344.904694623459</v>
      </c>
    </row>
    <row r="145" spans="1:13" ht="12.75">
      <c r="A145" s="7">
        <f t="shared" si="73"/>
        <v>42825</v>
      </c>
      <c r="B145" s="23">
        <f t="shared" si="66"/>
        <v>135</v>
      </c>
      <c r="C145" s="30">
        <f t="shared" si="67"/>
        <v>227.1751863850151</v>
      </c>
      <c r="D145" s="30"/>
      <c r="E145" s="30">
        <f t="shared" si="68"/>
        <v>169.88552380103565</v>
      </c>
      <c r="F145" s="29">
        <f t="shared" si="74"/>
        <v>57.289662583979464</v>
      </c>
      <c r="G145" s="30">
        <f t="shared" si="69"/>
        <v>20328.9731935403</v>
      </c>
      <c r="H145" s="25">
        <f t="shared" si="70"/>
        <v>42.47138095025891</v>
      </c>
      <c r="I145" s="33">
        <f>IF(G144&lt;0.5,"",IF(OR(YEAR(A145)&lt;YEAR(A146),G145&lt;0.5),SUM($H$11:H145)-SUM($I$11:I144),""))</f>
      </c>
      <c r="J145" s="35">
        <f t="shared" si="71"/>
        <v>25997.623355517328</v>
      </c>
      <c r="K145" s="35">
        <f t="shared" si="72"/>
        <v>4671.026806459723</v>
      </c>
      <c r="L145" s="33">
        <f t="shared" si="75"/>
        <v>21184.812846826004</v>
      </c>
      <c r="M145" s="33">
        <f t="shared" si="76"/>
        <v>4344.904694623459</v>
      </c>
    </row>
    <row r="146" spans="1:13" ht="12.75">
      <c r="A146" s="7">
        <f t="shared" si="73"/>
        <v>42855</v>
      </c>
      <c r="B146" s="23">
        <f t="shared" si="66"/>
        <v>136</v>
      </c>
      <c r="C146" s="30">
        <f t="shared" si="67"/>
        <v>227.1751863850151</v>
      </c>
      <c r="D146" s="30"/>
      <c r="E146" s="30">
        <f t="shared" si="68"/>
        <v>169.40810994616916</v>
      </c>
      <c r="F146" s="29">
        <f t="shared" si="74"/>
        <v>57.76707643884595</v>
      </c>
      <c r="G146" s="30">
        <f t="shared" si="69"/>
        <v>20271.206117101454</v>
      </c>
      <c r="H146" s="25">
        <f t="shared" si="70"/>
        <v>42.35202748654229</v>
      </c>
      <c r="I146" s="33">
        <f>IF(G145&lt;0.5,"",IF(OR(YEAR(A146)&lt;YEAR(A147),G146&lt;0.5),SUM($H$11:H146)-SUM($I$11:I145),""))</f>
      </c>
      <c r="J146" s="35">
        <f t="shared" si="71"/>
        <v>26167.031465463497</v>
      </c>
      <c r="K146" s="35">
        <f t="shared" si="72"/>
        <v>4728.793882898569</v>
      </c>
      <c r="L146" s="33">
        <f t="shared" si="75"/>
        <v>21287.809146522966</v>
      </c>
      <c r="M146" s="33">
        <f t="shared" si="76"/>
        <v>4344.904694623459</v>
      </c>
    </row>
    <row r="147" spans="1:13" ht="12.75">
      <c r="A147" s="7">
        <f t="shared" si="73"/>
        <v>42886</v>
      </c>
      <c r="B147" s="23">
        <f t="shared" si="66"/>
        <v>137</v>
      </c>
      <c r="C147" s="30">
        <f t="shared" si="67"/>
        <v>227.1751863850151</v>
      </c>
      <c r="D147" s="30"/>
      <c r="E147" s="30">
        <f t="shared" si="68"/>
        <v>168.9267176425121</v>
      </c>
      <c r="F147" s="29">
        <f t="shared" si="74"/>
        <v>58.24846874250301</v>
      </c>
      <c r="G147" s="30">
        <f t="shared" si="69"/>
        <v>20212.95764835895</v>
      </c>
      <c r="H147" s="25">
        <f t="shared" si="70"/>
        <v>42.231679410628026</v>
      </c>
      <c r="I147" s="33">
        <f>IF(G146&lt;0.5,"",IF(OR(YEAR(A147)&lt;YEAR(A148),G147&lt;0.5),SUM($H$11:H147)-SUM($I$11:I146),""))</f>
      </c>
      <c r="J147" s="35">
        <f t="shared" si="71"/>
        <v>26335.95818310601</v>
      </c>
      <c r="K147" s="35">
        <f t="shared" si="72"/>
        <v>4787.042351641072</v>
      </c>
      <c r="L147" s="33">
        <f t="shared" si="75"/>
        <v>21390.208118881175</v>
      </c>
      <c r="M147" s="33">
        <f t="shared" si="76"/>
        <v>4344.904694623459</v>
      </c>
    </row>
    <row r="148" spans="1:13" ht="12.75">
      <c r="A148" s="7">
        <f t="shared" si="73"/>
        <v>42916</v>
      </c>
      <c r="B148" s="23">
        <f t="shared" si="66"/>
        <v>138</v>
      </c>
      <c r="C148" s="30">
        <f t="shared" si="67"/>
        <v>227.1751863850151</v>
      </c>
      <c r="D148" s="30"/>
      <c r="E148" s="30">
        <f t="shared" si="68"/>
        <v>168.4413137363246</v>
      </c>
      <c r="F148" s="29">
        <f t="shared" si="74"/>
        <v>58.73387264869052</v>
      </c>
      <c r="G148" s="30">
        <f t="shared" si="69"/>
        <v>20154.223775710263</v>
      </c>
      <c r="H148" s="25">
        <f t="shared" si="70"/>
        <v>42.11032843408115</v>
      </c>
      <c r="I148" s="33">
        <f>IF(G147&lt;0.5,"",IF(OR(YEAR(A148)&lt;YEAR(A149),G148&lt;0.5),SUM($H$11:H148)-SUM($I$11:I147),""))</f>
      </c>
      <c r="J148" s="35">
        <f t="shared" si="71"/>
        <v>26504.399496842336</v>
      </c>
      <c r="K148" s="35">
        <f t="shared" si="72"/>
        <v>4845.7762242897625</v>
      </c>
      <c r="L148" s="33">
        <f t="shared" si="75"/>
        <v>21492.01322810226</v>
      </c>
      <c r="M148" s="33">
        <f t="shared" si="76"/>
        <v>4344.904694623459</v>
      </c>
    </row>
    <row r="149" spans="1:13" ht="12.75">
      <c r="A149" s="7">
        <f t="shared" si="73"/>
        <v>42947</v>
      </c>
      <c r="B149" s="23">
        <f t="shared" si="66"/>
        <v>139</v>
      </c>
      <c r="C149" s="30">
        <f t="shared" si="67"/>
        <v>227.1751863850151</v>
      </c>
      <c r="D149" s="30"/>
      <c r="E149" s="30">
        <f t="shared" si="68"/>
        <v>167.95186479758553</v>
      </c>
      <c r="F149" s="29">
        <f t="shared" si="74"/>
        <v>59.22332158742958</v>
      </c>
      <c r="G149" s="30">
        <f t="shared" si="69"/>
        <v>20095.000454122834</v>
      </c>
      <c r="H149" s="25">
        <f t="shared" si="70"/>
        <v>41.98796619939638</v>
      </c>
      <c r="I149" s="33">
        <f>IF(G148&lt;0.5,"",IF(OR(YEAR(A149)&lt;YEAR(A150),G149&lt;0.5),SUM($H$11:H149)-SUM($I$11:I148),""))</f>
      </c>
      <c r="J149" s="35">
        <f t="shared" si="71"/>
        <v>26672.35136163992</v>
      </c>
      <c r="K149" s="35">
        <f t="shared" si="72"/>
        <v>4904.999545877192</v>
      </c>
      <c r="L149" s="33">
        <f t="shared" si="75"/>
        <v>21593.22791829721</v>
      </c>
      <c r="M149" s="33">
        <f t="shared" si="76"/>
        <v>4344.904694623459</v>
      </c>
    </row>
    <row r="150" spans="1:13" ht="12.75">
      <c r="A150" s="7">
        <f t="shared" si="73"/>
        <v>42978</v>
      </c>
      <c r="B150" s="23">
        <f t="shared" si="66"/>
        <v>140</v>
      </c>
      <c r="C150" s="30">
        <f t="shared" si="67"/>
        <v>227.1751863850151</v>
      </c>
      <c r="D150" s="30"/>
      <c r="E150" s="30">
        <f t="shared" si="68"/>
        <v>167.4583371176903</v>
      </c>
      <c r="F150" s="29">
        <f t="shared" si="74"/>
        <v>59.71684926732482</v>
      </c>
      <c r="G150" s="30">
        <f t="shared" si="69"/>
        <v>20035.283604855507</v>
      </c>
      <c r="H150" s="25">
        <f t="shared" si="70"/>
        <v>41.86458427942257</v>
      </c>
      <c r="I150" s="33">
        <f>IF(G149&lt;0.5,"",IF(OR(YEAR(A150)&lt;YEAR(A151),G150&lt;0.5),SUM($H$11:H150)-SUM($I$11:I149),""))</f>
      </c>
      <c r="J150" s="35">
        <f t="shared" si="71"/>
        <v>26839.80969875761</v>
      </c>
      <c r="K150" s="35">
        <f t="shared" si="72"/>
        <v>4964.716395144516</v>
      </c>
      <c r="L150" s="33">
        <f t="shared" si="75"/>
        <v>21693.855613602875</v>
      </c>
      <c r="M150" s="33">
        <f t="shared" si="76"/>
        <v>4344.904694623459</v>
      </c>
    </row>
    <row r="151" spans="1:13" ht="12.75">
      <c r="A151" s="7">
        <f t="shared" si="73"/>
        <v>43008</v>
      </c>
      <c r="B151" s="23">
        <f t="shared" si="66"/>
        <v>141</v>
      </c>
      <c r="C151" s="30">
        <f t="shared" si="67"/>
        <v>227.1751863850151</v>
      </c>
      <c r="D151" s="30"/>
      <c r="E151" s="30">
        <f t="shared" si="68"/>
        <v>166.96069670712922</v>
      </c>
      <c r="F151" s="29">
        <f t="shared" si="74"/>
        <v>60.214489677885894</v>
      </c>
      <c r="G151" s="30">
        <f t="shared" si="69"/>
        <v>19975.069115177623</v>
      </c>
      <c r="H151" s="25">
        <f t="shared" si="70"/>
        <v>41.740174176782304</v>
      </c>
      <c r="I151" s="33">
        <f>IF(G150&lt;0.5,"",IF(OR(YEAR(A151)&lt;YEAR(A152),G151&lt;0.5),SUM($H$11:H151)-SUM($I$11:I150),""))</f>
      </c>
      <c r="J151" s="35">
        <f t="shared" si="71"/>
        <v>27006.77039546474</v>
      </c>
      <c r="K151" s="35">
        <f t="shared" si="72"/>
        <v>5024.930884822402</v>
      </c>
      <c r="L151" s="33">
        <f t="shared" si="75"/>
        <v>21793.89971829782</v>
      </c>
      <c r="M151" s="33">
        <f t="shared" si="76"/>
        <v>4344.904694623459</v>
      </c>
    </row>
    <row r="152" spans="1:13" ht="12.75">
      <c r="A152" s="7">
        <f t="shared" si="73"/>
        <v>43039</v>
      </c>
      <c r="B152" s="23">
        <f t="shared" si="66"/>
        <v>142</v>
      </c>
      <c r="C152" s="30">
        <f t="shared" si="67"/>
        <v>227.1751863850151</v>
      </c>
      <c r="D152" s="30"/>
      <c r="E152" s="30">
        <f t="shared" si="68"/>
        <v>166.45890929314686</v>
      </c>
      <c r="F152" s="29">
        <f t="shared" si="74"/>
        <v>60.71627709186825</v>
      </c>
      <c r="G152" s="30">
        <f t="shared" si="69"/>
        <v>19914.352838085753</v>
      </c>
      <c r="H152" s="25">
        <f t="shared" si="70"/>
        <v>41.614727323286715</v>
      </c>
      <c r="I152" s="33">
        <f>IF(G151&lt;0.5,"",IF(OR(YEAR(A152)&lt;YEAR(A153),G152&lt;0.5),SUM($H$11:H152)-SUM($I$11:I151),""))</f>
      </c>
      <c r="J152" s="35">
        <f t="shared" si="71"/>
        <v>27173.229304757886</v>
      </c>
      <c r="K152" s="35">
        <f t="shared" si="72"/>
        <v>5085.64716191427</v>
      </c>
      <c r="L152" s="33">
        <f t="shared" si="75"/>
        <v>21893.363616917482</v>
      </c>
      <c r="M152" s="33">
        <f t="shared" si="76"/>
        <v>4344.904694623459</v>
      </c>
    </row>
    <row r="153" spans="1:13" ht="12.75">
      <c r="A153" s="7">
        <f t="shared" si="73"/>
        <v>43069</v>
      </c>
      <c r="B153" s="23">
        <f t="shared" si="66"/>
        <v>143</v>
      </c>
      <c r="C153" s="30">
        <f t="shared" si="67"/>
        <v>227.1751863850151</v>
      </c>
      <c r="D153" s="30"/>
      <c r="E153" s="30">
        <f t="shared" si="68"/>
        <v>165.95294031738126</v>
      </c>
      <c r="F153" s="29">
        <f t="shared" si="74"/>
        <v>61.22224606763385</v>
      </c>
      <c r="G153" s="30">
        <f t="shared" si="69"/>
        <v>19853.13059201812</v>
      </c>
      <c r="H153" s="25">
        <f t="shared" si="70"/>
        <v>41.488235079345316</v>
      </c>
      <c r="I153" s="33">
        <f>IF(G152&lt;0.5,"",IF(OR(YEAR(A153)&lt;YEAR(A154),G153&lt;0.5),SUM($H$11:H153)-SUM($I$11:I152),""))</f>
      </c>
      <c r="J153" s="35">
        <f t="shared" si="71"/>
        <v>27339.182245075266</v>
      </c>
      <c r="K153" s="35">
        <f t="shared" si="72"/>
        <v>5146.869407981904</v>
      </c>
      <c r="L153" s="33">
        <f t="shared" si="75"/>
        <v>21992.25067436868</v>
      </c>
      <c r="M153" s="33">
        <f t="shared" si="76"/>
        <v>4344.904694623459</v>
      </c>
    </row>
    <row r="154" spans="1:13" ht="12.75">
      <c r="A154" s="7">
        <f t="shared" si="73"/>
        <v>43100</v>
      </c>
      <c r="B154" s="23">
        <f t="shared" si="66"/>
        <v>144</v>
      </c>
      <c r="C154" s="30">
        <f t="shared" si="67"/>
        <v>227.1751863850151</v>
      </c>
      <c r="D154" s="30"/>
      <c r="E154" s="30">
        <f t="shared" si="68"/>
        <v>165.4427549334843</v>
      </c>
      <c r="F154" s="29">
        <f t="shared" si="74"/>
        <v>61.7324314515308</v>
      </c>
      <c r="G154" s="30">
        <f t="shared" si="69"/>
        <v>19791.398160566587</v>
      </c>
      <c r="H154" s="25">
        <f t="shared" si="70"/>
        <v>41.36068873337108</v>
      </c>
      <c r="I154" s="33">
        <f>IF(G153&lt;0.5,"",IF(OR(YEAR(A154)&lt;YEAR(A155),G154&lt;0.5),SUM($H$11:H154)-SUM($I$11:I153),""))</f>
        <v>504.5186769477359</v>
      </c>
      <c r="J154" s="35">
        <f t="shared" si="71"/>
        <v>27504.62500000875</v>
      </c>
      <c r="K154" s="35">
        <f t="shared" si="72"/>
        <v>5208.601839433435</v>
      </c>
      <c r="L154" s="33">
        <f t="shared" si="75"/>
        <v>22090.56423604344</v>
      </c>
      <c r="M154" s="33">
        <f t="shared" si="76"/>
        <v>4563.242924477959</v>
      </c>
    </row>
    <row r="155" spans="1:13" ht="12.75">
      <c r="A155" s="7">
        <f t="shared" si="73"/>
        <v>43131</v>
      </c>
      <c r="B155" s="23">
        <f t="shared" si="66"/>
        <v>145</v>
      </c>
      <c r="C155" s="30">
        <f t="shared" si="67"/>
        <v>227.1751863850151</v>
      </c>
      <c r="D155" s="30"/>
      <c r="E155" s="30">
        <f t="shared" si="68"/>
        <v>164.92831800472155</v>
      </c>
      <c r="F155" s="29">
        <f t="shared" si="74"/>
        <v>62.24686838029356</v>
      </c>
      <c r="G155" s="30">
        <f t="shared" si="69"/>
        <v>19729.151292186292</v>
      </c>
      <c r="H155" s="25">
        <f t="shared" si="70"/>
        <v>41.23207950118039</v>
      </c>
      <c r="I155" s="33">
        <f>IF(G154&lt;0.5,"",IF(OR(YEAR(A155)&lt;YEAR(A156),G155&lt;0.5),SUM($H$11:H155)-SUM($I$11:I154),""))</f>
      </c>
      <c r="J155" s="35">
        <f t="shared" si="71"/>
        <v>27669.55331801347</v>
      </c>
      <c r="K155" s="35">
        <f t="shared" si="72"/>
        <v>5270.848707813729</v>
      </c>
      <c r="L155" s="33">
        <f t="shared" si="75"/>
        <v>22188.307627932183</v>
      </c>
      <c r="M155" s="33">
        <f t="shared" si="76"/>
        <v>4563.242924477959</v>
      </c>
    </row>
    <row r="156" spans="1:13" ht="12.75">
      <c r="A156" s="7">
        <f t="shared" si="73"/>
        <v>43159</v>
      </c>
      <c r="B156" s="23">
        <f aca="true" t="shared" si="77" ref="B156:B171">B155+1</f>
        <v>146</v>
      </c>
      <c r="C156" s="30">
        <f aca="true" t="shared" si="78" ref="C156:C171">IF(G155&gt;0.5,C155,"")</f>
        <v>227.1751863850151</v>
      </c>
      <c r="D156" s="30"/>
      <c r="E156" s="30">
        <f aca="true" t="shared" si="79" ref="E156:E171">IF(G155&gt;0.5,$J$3*G155,"")</f>
        <v>164.40959410155244</v>
      </c>
      <c r="F156" s="29">
        <f t="shared" si="74"/>
        <v>62.76559228346267</v>
      </c>
      <c r="G156" s="30">
        <f aca="true" t="shared" si="80" ref="G156:G171">IF(G155&gt;0.5,G155-F156,0)</f>
        <v>19666.38569990283</v>
      </c>
      <c r="H156" s="25">
        <f t="shared" si="70"/>
        <v>41.10239852538811</v>
      </c>
      <c r="I156" s="33">
        <f>IF(G155&lt;0.5,"",IF(OR(YEAR(A156)&lt;YEAR(A157),G156&lt;0.5),SUM($H$11:H156)-SUM($I$11:I155),""))</f>
      </c>
      <c r="J156" s="35">
        <f aca="true" t="shared" si="81" ref="J156:J171">IF(G155&gt;0.5,J155+E156,"")</f>
        <v>27833.96291211502</v>
      </c>
      <c r="K156" s="35">
        <f aca="true" t="shared" si="82" ref="K156:K171">IF(G155&gt;0.5,K155+F156,"")</f>
        <v>5333.6143000971915</v>
      </c>
      <c r="L156" s="33">
        <f t="shared" si="75"/>
        <v>22285.48415673624</v>
      </c>
      <c r="M156" s="33">
        <f t="shared" si="76"/>
        <v>4563.242924477959</v>
      </c>
    </row>
    <row r="157" spans="1:13" ht="12.75">
      <c r="A157" s="7">
        <f t="shared" si="73"/>
        <v>43190</v>
      </c>
      <c r="B157" s="23">
        <f t="shared" si="77"/>
        <v>147</v>
      </c>
      <c r="C157" s="30">
        <f t="shared" si="78"/>
        <v>227.1751863850151</v>
      </c>
      <c r="D157" s="30"/>
      <c r="E157" s="30">
        <f t="shared" si="79"/>
        <v>163.88654749919024</v>
      </c>
      <c r="F157" s="29">
        <f t="shared" si="74"/>
        <v>63.28863888582487</v>
      </c>
      <c r="G157" s="30">
        <f t="shared" si="80"/>
        <v>19603.097061017004</v>
      </c>
      <c r="H157" s="25">
        <f t="shared" si="70"/>
        <v>40.97163687479756</v>
      </c>
      <c r="I157" s="33">
        <f>IF(G156&lt;0.5,"",IF(OR(YEAR(A157)&lt;YEAR(A158),G157&lt;0.5),SUM($H$11:H157)-SUM($I$11:I156),""))</f>
      </c>
      <c r="J157" s="35">
        <f t="shared" si="81"/>
        <v>27997.84945961421</v>
      </c>
      <c r="K157" s="35">
        <f t="shared" si="82"/>
        <v>5396.902938983017</v>
      </c>
      <c r="L157" s="33">
        <f t="shared" si="75"/>
        <v>22382.097109979706</v>
      </c>
      <c r="M157" s="33">
        <f aca="true" t="shared" si="83" ref="M157:M172">IF(G156&lt;0.5,"",IF(I157="",M156,I157/(1+$J$4)^B157+M156))</f>
        <v>4563.242924477959</v>
      </c>
    </row>
    <row r="158" spans="1:13" ht="12.75">
      <c r="A158" s="7">
        <f t="shared" si="73"/>
        <v>43220</v>
      </c>
      <c r="B158" s="23">
        <f t="shared" si="77"/>
        <v>148</v>
      </c>
      <c r="C158" s="30">
        <f t="shared" si="78"/>
        <v>227.1751863850151</v>
      </c>
      <c r="D158" s="30"/>
      <c r="E158" s="30">
        <f t="shared" si="79"/>
        <v>163.3591421751417</v>
      </c>
      <c r="F158" s="29">
        <f t="shared" si="74"/>
        <v>63.81604420987341</v>
      </c>
      <c r="G158" s="30">
        <f t="shared" si="80"/>
        <v>19539.28101680713</v>
      </c>
      <c r="H158" s="25">
        <f t="shared" si="70"/>
        <v>40.839785543785425</v>
      </c>
      <c r="I158" s="33">
        <f>IF(G157&lt;0.5,"",IF(OR(YEAR(A158)&lt;YEAR(A159),G158&lt;0.5),SUM($H$11:H158)-SUM($I$11:I157),""))</f>
      </c>
      <c r="J158" s="35">
        <f t="shared" si="81"/>
        <v>28161.208601789353</v>
      </c>
      <c r="K158" s="35">
        <f t="shared" si="82"/>
        <v>5460.71898319289</v>
      </c>
      <c r="L158" s="33">
        <f t="shared" si="75"/>
        <v>22478.149756120685</v>
      </c>
      <c r="M158" s="33">
        <f t="shared" si="83"/>
        <v>4563.242924477959</v>
      </c>
    </row>
    <row r="159" spans="1:13" ht="12.75">
      <c r="A159" s="7">
        <f t="shared" si="73"/>
        <v>43251</v>
      </c>
      <c r="B159" s="23">
        <f t="shared" si="77"/>
        <v>149</v>
      </c>
      <c r="C159" s="30">
        <f t="shared" si="78"/>
        <v>227.1751863850151</v>
      </c>
      <c r="D159" s="30"/>
      <c r="E159" s="30">
        <f t="shared" si="79"/>
        <v>162.82734180672608</v>
      </c>
      <c r="F159" s="29">
        <f t="shared" si="74"/>
        <v>64.34784457828903</v>
      </c>
      <c r="G159" s="30">
        <f t="shared" si="80"/>
        <v>19474.93317222884</v>
      </c>
      <c r="H159" s="25">
        <f t="shared" si="70"/>
        <v>40.70683545168152</v>
      </c>
      <c r="I159" s="33">
        <f>IF(G158&lt;0.5,"",IF(OR(YEAR(A159)&lt;YEAR(A160),G159&lt;0.5),SUM($H$11:H159)-SUM($I$11:I158),""))</f>
      </c>
      <c r="J159" s="35">
        <f t="shared" si="81"/>
        <v>28324.035943596078</v>
      </c>
      <c r="K159" s="35">
        <f t="shared" si="82"/>
        <v>5525.066827771179</v>
      </c>
      <c r="L159" s="33">
        <f t="shared" si="75"/>
        <v>22573.64534466184</v>
      </c>
      <c r="M159" s="33">
        <f t="shared" si="83"/>
        <v>4563.242924477959</v>
      </c>
    </row>
    <row r="160" spans="1:13" ht="12.75">
      <c r="A160" s="7">
        <f t="shared" si="73"/>
        <v>43281</v>
      </c>
      <c r="B160" s="23">
        <f t="shared" si="77"/>
        <v>150</v>
      </c>
      <c r="C160" s="30">
        <f t="shared" si="78"/>
        <v>227.1751863850151</v>
      </c>
      <c r="D160" s="30"/>
      <c r="E160" s="30">
        <f t="shared" si="79"/>
        <v>162.29110976857368</v>
      </c>
      <c r="F160" s="29">
        <f t="shared" si="74"/>
        <v>64.88407661644143</v>
      </c>
      <c r="G160" s="30">
        <f t="shared" si="80"/>
        <v>19410.049095612398</v>
      </c>
      <c r="H160" s="25">
        <f t="shared" si="70"/>
        <v>40.57277744214342</v>
      </c>
      <c r="I160" s="33">
        <f>IF(G159&lt;0.5,"",IF(OR(YEAR(A160)&lt;YEAR(A161),G160&lt;0.5),SUM($H$11:H160)-SUM($I$11:I159),""))</f>
      </c>
      <c r="J160" s="35">
        <f t="shared" si="81"/>
        <v>28486.32705336465</v>
      </c>
      <c r="K160" s="35">
        <f t="shared" si="82"/>
        <v>5589.9509043876205</v>
      </c>
      <c r="L160" s="33">
        <f t="shared" si="75"/>
        <v>22668.587106260336</v>
      </c>
      <c r="M160" s="33">
        <f t="shared" si="83"/>
        <v>4563.242924477959</v>
      </c>
    </row>
    <row r="161" spans="1:13" ht="12.75">
      <c r="A161" s="7">
        <f t="shared" si="73"/>
        <v>43312</v>
      </c>
      <c r="B161" s="23">
        <f t="shared" si="77"/>
        <v>151</v>
      </c>
      <c r="C161" s="30">
        <f t="shared" si="78"/>
        <v>227.1751863850151</v>
      </c>
      <c r="D161" s="30"/>
      <c r="E161" s="30">
        <f t="shared" si="79"/>
        <v>161.75040913010332</v>
      </c>
      <c r="F161" s="29">
        <f t="shared" si="74"/>
        <v>65.42477725491179</v>
      </c>
      <c r="G161" s="30">
        <f t="shared" si="80"/>
        <v>19344.624318357484</v>
      </c>
      <c r="H161" s="25">
        <f t="shared" si="70"/>
        <v>40.43760228252583</v>
      </c>
      <c r="I161" s="33">
        <f>IF(G160&lt;0.5,"",IF(OR(YEAR(A161)&lt;YEAR(A162),G161&lt;0.5),SUM($H$11:H161)-SUM($I$11:I160),""))</f>
      </c>
      <c r="J161" s="35">
        <f t="shared" si="81"/>
        <v>28648.07746249475</v>
      </c>
      <c r="K161" s="35">
        <f t="shared" si="82"/>
        <v>5655.375681642532</v>
      </c>
      <c r="L161" s="33">
        <f t="shared" si="75"/>
        <v>22762.978252837136</v>
      </c>
      <c r="M161" s="33">
        <f t="shared" si="83"/>
        <v>4563.242924477959</v>
      </c>
    </row>
    <row r="162" spans="1:13" ht="12.75">
      <c r="A162" s="7">
        <f t="shared" si="73"/>
        <v>43343</v>
      </c>
      <c r="B162" s="23">
        <f t="shared" si="77"/>
        <v>152</v>
      </c>
      <c r="C162" s="30">
        <f t="shared" si="78"/>
        <v>227.1751863850151</v>
      </c>
      <c r="D162" s="30"/>
      <c r="E162" s="30">
        <f t="shared" si="79"/>
        <v>161.20520265297904</v>
      </c>
      <c r="F162" s="29">
        <f t="shared" si="74"/>
        <v>65.96998373203607</v>
      </c>
      <c r="G162" s="30">
        <f t="shared" si="80"/>
        <v>19278.654334625448</v>
      </c>
      <c r="H162" s="25">
        <f t="shared" si="70"/>
        <v>40.30130066324476</v>
      </c>
      <c r="I162" s="33">
        <f>IF(G161&lt;0.5,"",IF(OR(YEAR(A162)&lt;YEAR(A163),G162&lt;0.5),SUM($H$11:H162)-SUM($I$11:I161),""))</f>
      </c>
      <c r="J162" s="35">
        <f t="shared" si="81"/>
        <v>28809.28266514773</v>
      </c>
      <c r="K162" s="35">
        <f t="shared" si="82"/>
        <v>5721.345665374568</v>
      </c>
      <c r="L162" s="33">
        <f t="shared" si="75"/>
        <v>22856.82197768565</v>
      </c>
      <c r="M162" s="33">
        <f t="shared" si="83"/>
        <v>4563.242924477959</v>
      </c>
    </row>
    <row r="163" spans="1:13" ht="12.75">
      <c r="A163" s="7">
        <f t="shared" si="73"/>
        <v>43373</v>
      </c>
      <c r="B163" s="23">
        <f t="shared" si="77"/>
        <v>153</v>
      </c>
      <c r="C163" s="30">
        <f t="shared" si="78"/>
        <v>227.1751863850151</v>
      </c>
      <c r="D163" s="30"/>
      <c r="E163" s="30">
        <f t="shared" si="79"/>
        <v>160.6554527885454</v>
      </c>
      <c r="F163" s="29">
        <f t="shared" si="74"/>
        <v>66.5197335964697</v>
      </c>
      <c r="G163" s="30">
        <f t="shared" si="80"/>
        <v>19212.134601028978</v>
      </c>
      <c r="H163" s="25">
        <f t="shared" si="70"/>
        <v>40.16386319713635</v>
      </c>
      <c r="I163" s="33">
        <f>IF(G162&lt;0.5,"",IF(OR(YEAR(A163)&lt;YEAR(A164),G163&lt;0.5),SUM($H$11:H163)-SUM($I$11:I162),""))</f>
      </c>
      <c r="J163" s="35">
        <f t="shared" si="81"/>
        <v>28969.938117936275</v>
      </c>
      <c r="K163" s="35">
        <f t="shared" si="82"/>
        <v>5787.865398971037</v>
      </c>
      <c r="L163" s="33">
        <f t="shared" si="75"/>
        <v>22950.12145557978</v>
      </c>
      <c r="M163" s="33">
        <f t="shared" si="83"/>
        <v>4563.242924477959</v>
      </c>
    </row>
    <row r="164" spans="1:13" ht="12.75">
      <c r="A164" s="7">
        <f t="shared" si="73"/>
        <v>43404</v>
      </c>
      <c r="B164" s="23">
        <f t="shared" si="77"/>
        <v>154</v>
      </c>
      <c r="C164" s="30">
        <f t="shared" si="78"/>
        <v>227.1751863850151</v>
      </c>
      <c r="D164" s="30"/>
      <c r="E164" s="30">
        <f t="shared" si="79"/>
        <v>160.10112167524147</v>
      </c>
      <c r="F164" s="29">
        <f t="shared" si="74"/>
        <v>67.07406470977364</v>
      </c>
      <c r="G164" s="30">
        <f t="shared" si="80"/>
        <v>19145.060536319204</v>
      </c>
      <c r="H164" s="25">
        <f t="shared" si="70"/>
        <v>40.02528041881037</v>
      </c>
      <c r="I164" s="33">
        <f>IF(G163&lt;0.5,"",IF(OR(YEAR(A164)&lt;YEAR(A165),G164&lt;0.5),SUM($H$11:H164)-SUM($I$11:I163),""))</f>
      </c>
      <c r="J164" s="35">
        <f t="shared" si="81"/>
        <v>29130.039239611517</v>
      </c>
      <c r="K164" s="35">
        <f t="shared" si="82"/>
        <v>5854.939463680811</v>
      </c>
      <c r="L164" s="33">
        <f t="shared" si="75"/>
        <v>23042.87984288132</v>
      </c>
      <c r="M164" s="33">
        <f t="shared" si="83"/>
        <v>4563.242924477959</v>
      </c>
    </row>
    <row r="165" spans="1:13" ht="12.75">
      <c r="A165" s="7">
        <f t="shared" si="73"/>
        <v>43434</v>
      </c>
      <c r="B165" s="23">
        <f t="shared" si="77"/>
        <v>155</v>
      </c>
      <c r="C165" s="30">
        <f t="shared" si="78"/>
        <v>227.1751863850151</v>
      </c>
      <c r="D165" s="30"/>
      <c r="E165" s="30">
        <f t="shared" si="79"/>
        <v>159.54217113599336</v>
      </c>
      <c r="F165" s="29">
        <f t="shared" si="74"/>
        <v>67.63301524902175</v>
      </c>
      <c r="G165" s="30">
        <f t="shared" si="80"/>
        <v>19077.42752107018</v>
      </c>
      <c r="H165" s="25">
        <f t="shared" si="70"/>
        <v>39.88554278399834</v>
      </c>
      <c r="I165" s="33">
        <f>IF(G164&lt;0.5,"",IF(OR(YEAR(A165)&lt;YEAR(A166),G165&lt;0.5),SUM($H$11:H165)-SUM($I$11:I164),""))</f>
      </c>
      <c r="J165" s="35">
        <f t="shared" si="81"/>
        <v>29289.58141074751</v>
      </c>
      <c r="K165" s="35">
        <f t="shared" si="82"/>
        <v>5922.572478929833</v>
      </c>
      <c r="L165" s="33">
        <f t="shared" si="75"/>
        <v>23135.10027764673</v>
      </c>
      <c r="M165" s="33">
        <f t="shared" si="83"/>
        <v>4563.242924477959</v>
      </c>
    </row>
    <row r="166" spans="1:13" ht="12.75">
      <c r="A166" s="7">
        <f t="shared" si="73"/>
        <v>43465</v>
      </c>
      <c r="B166" s="23">
        <f t="shared" si="77"/>
        <v>156</v>
      </c>
      <c r="C166" s="30">
        <f t="shared" si="78"/>
        <v>227.1751863850151</v>
      </c>
      <c r="D166" s="30"/>
      <c r="E166" s="30">
        <f t="shared" si="79"/>
        <v>158.97856267558484</v>
      </c>
      <c r="F166" s="29">
        <f t="shared" si="74"/>
        <v>68.19662370943027</v>
      </c>
      <c r="G166" s="30">
        <f t="shared" si="80"/>
        <v>19009.23089736075</v>
      </c>
      <c r="H166" s="25">
        <f t="shared" si="70"/>
        <v>39.74464066889621</v>
      </c>
      <c r="I166" s="33">
        <f>IF(G165&lt;0.5,"",IF(OR(YEAR(A166)&lt;YEAR(A167),G166&lt;0.5),SUM($H$11:H166)-SUM($I$11:I165),""))</f>
        <v>485.98374335358585</v>
      </c>
      <c r="J166" s="35">
        <f t="shared" si="81"/>
        <v>29448.559973423093</v>
      </c>
      <c r="K166" s="35">
        <f t="shared" si="82"/>
        <v>5990.769102639263</v>
      </c>
      <c r="L166" s="33">
        <f t="shared" si="75"/>
        <v>23226.7858797333</v>
      </c>
      <c r="M166" s="33">
        <f t="shared" si="83"/>
        <v>4759.381036314446</v>
      </c>
    </row>
    <row r="167" spans="1:13" ht="12.75">
      <c r="A167" s="7">
        <f t="shared" si="73"/>
        <v>43496</v>
      </c>
      <c r="B167" s="23">
        <f t="shared" si="77"/>
        <v>157</v>
      </c>
      <c r="C167" s="30">
        <f t="shared" si="78"/>
        <v>227.1751863850151</v>
      </c>
      <c r="D167" s="30"/>
      <c r="E167" s="30">
        <f t="shared" si="79"/>
        <v>158.41025747800626</v>
      </c>
      <c r="F167" s="29">
        <f t="shared" si="74"/>
        <v>68.76492890700885</v>
      </c>
      <c r="G167" s="30">
        <f t="shared" si="80"/>
        <v>18940.46596845374</v>
      </c>
      <c r="H167" s="25">
        <f t="shared" si="70"/>
        <v>39.602564369501565</v>
      </c>
      <c r="I167" s="33">
        <f>IF(G166&lt;0.5,"",IF(OR(YEAR(A167)&lt;YEAR(A168),G167&lt;0.5),SUM($H$11:H167)-SUM($I$11:I166),""))</f>
      </c>
      <c r="J167" s="35">
        <f t="shared" si="81"/>
        <v>29606.970230901097</v>
      </c>
      <c r="K167" s="35">
        <f t="shared" si="82"/>
        <v>6059.534031546272</v>
      </c>
      <c r="L167" s="33">
        <f t="shared" si="75"/>
        <v>23317.939750904705</v>
      </c>
      <c r="M167" s="33">
        <f t="shared" si="83"/>
        <v>4759.381036314446</v>
      </c>
    </row>
    <row r="168" spans="1:13" ht="12.75">
      <c r="A168" s="7">
        <f t="shared" si="73"/>
        <v>43524</v>
      </c>
      <c r="B168" s="23">
        <f t="shared" si="77"/>
        <v>158</v>
      </c>
      <c r="C168" s="30">
        <f t="shared" si="78"/>
        <v>227.1751863850151</v>
      </c>
      <c r="D168" s="30"/>
      <c r="E168" s="30">
        <f t="shared" si="79"/>
        <v>157.83721640378116</v>
      </c>
      <c r="F168" s="29">
        <f t="shared" si="74"/>
        <v>69.33796998123395</v>
      </c>
      <c r="G168" s="30">
        <f t="shared" si="80"/>
        <v>18871.127998472508</v>
      </c>
      <c r="H168" s="25">
        <f t="shared" si="70"/>
        <v>39.45930410094529</v>
      </c>
      <c r="I168" s="33">
        <f>IF(G167&lt;0.5,"",IF(OR(YEAR(A168)&lt;YEAR(A169),G168&lt;0.5),SUM($H$11:H168)-SUM($I$11:I167),""))</f>
      </c>
      <c r="J168" s="35">
        <f t="shared" si="81"/>
        <v>29764.80744730488</v>
      </c>
      <c r="K168" s="35">
        <f t="shared" si="82"/>
        <v>6128.872001527506</v>
      </c>
      <c r="L168" s="33">
        <f t="shared" si="75"/>
        <v>23408.564974935925</v>
      </c>
      <c r="M168" s="33">
        <f t="shared" si="83"/>
        <v>4759.381036314446</v>
      </c>
    </row>
    <row r="169" spans="1:13" ht="12.75">
      <c r="A169" s="7">
        <f t="shared" si="73"/>
        <v>43555</v>
      </c>
      <c r="B169" s="23">
        <f t="shared" si="77"/>
        <v>159</v>
      </c>
      <c r="C169" s="30">
        <f t="shared" si="78"/>
        <v>227.1751863850151</v>
      </c>
      <c r="D169" s="30"/>
      <c r="E169" s="30">
        <f t="shared" si="79"/>
        <v>157.2593999872709</v>
      </c>
      <c r="F169" s="29">
        <f t="shared" si="74"/>
        <v>69.9157863977442</v>
      </c>
      <c r="G169" s="30">
        <f t="shared" si="80"/>
        <v>18801.212212074763</v>
      </c>
      <c r="H169" s="25">
        <f t="shared" si="70"/>
        <v>39.31484999681773</v>
      </c>
      <c r="I169" s="33">
        <f>IF(G168&lt;0.5,"",IF(OR(YEAR(A169)&lt;YEAR(A170),G169&lt;0.5),SUM($H$11:H169)-SUM($I$11:I168),""))</f>
      </c>
      <c r="J169" s="35">
        <f t="shared" si="81"/>
        <v>29922.06684729215</v>
      </c>
      <c r="K169" s="35">
        <f t="shared" si="82"/>
        <v>6198.78778792525</v>
      </c>
      <c r="L169" s="33">
        <f t="shared" si="75"/>
        <v>23498.664617717586</v>
      </c>
      <c r="M169" s="33">
        <f t="shared" si="83"/>
        <v>4759.381036314446</v>
      </c>
    </row>
    <row r="170" spans="1:13" ht="12.75">
      <c r="A170" s="7">
        <f t="shared" si="73"/>
        <v>43585</v>
      </c>
      <c r="B170" s="23">
        <f t="shared" si="77"/>
        <v>160</v>
      </c>
      <c r="C170" s="30">
        <f t="shared" si="78"/>
        <v>227.1751863850151</v>
      </c>
      <c r="D170" s="30"/>
      <c r="E170" s="30">
        <f t="shared" si="79"/>
        <v>156.67676843395634</v>
      </c>
      <c r="F170" s="29">
        <f t="shared" si="74"/>
        <v>70.49841795105877</v>
      </c>
      <c r="G170" s="30">
        <f t="shared" si="80"/>
        <v>18730.713794123705</v>
      </c>
      <c r="H170" s="25">
        <f t="shared" si="70"/>
        <v>39.169192108489085</v>
      </c>
      <c r="I170" s="33">
        <f>IF(G169&lt;0.5,"",IF(OR(YEAR(A170)&lt;YEAR(A171),G170&lt;0.5),SUM($H$11:H170)-SUM($I$11:I169),""))</f>
      </c>
      <c r="J170" s="35">
        <f t="shared" si="81"/>
        <v>30078.743615726107</v>
      </c>
      <c r="K170" s="35">
        <f t="shared" si="82"/>
        <v>6269.2862058763085</v>
      </c>
      <c r="L170" s="33">
        <f t="shared" si="75"/>
        <v>23588.24172735967</v>
      </c>
      <c r="M170" s="33">
        <f t="shared" si="83"/>
        <v>4759.381036314446</v>
      </c>
    </row>
    <row r="171" spans="1:13" ht="12.75">
      <c r="A171" s="7">
        <f t="shared" si="73"/>
        <v>43616</v>
      </c>
      <c r="B171" s="23">
        <f t="shared" si="77"/>
        <v>161</v>
      </c>
      <c r="C171" s="30">
        <f t="shared" si="78"/>
        <v>227.1751863850151</v>
      </c>
      <c r="D171" s="30"/>
      <c r="E171" s="30">
        <f t="shared" si="79"/>
        <v>156.08928161769754</v>
      </c>
      <c r="F171" s="29">
        <f t="shared" si="74"/>
        <v>71.08590476731757</v>
      </c>
      <c r="G171" s="30">
        <f t="shared" si="80"/>
        <v>18659.627889356387</v>
      </c>
      <c r="H171" s="25">
        <f t="shared" si="70"/>
        <v>39.022320404424384</v>
      </c>
      <c r="I171" s="33">
        <f>IF(G170&lt;0.5,"",IF(OR(YEAR(A171)&lt;YEAR(A172),G171&lt;0.5),SUM($H$11:H171)-SUM($I$11:I170),""))</f>
      </c>
      <c r="J171" s="35">
        <f t="shared" si="81"/>
        <v>30234.832897343804</v>
      </c>
      <c r="K171" s="35">
        <f t="shared" si="82"/>
        <v>6340.372110643626</v>
      </c>
      <c r="L171" s="33">
        <f t="shared" si="75"/>
        <v>23677.299334294632</v>
      </c>
      <c r="M171" s="33">
        <f t="shared" si="83"/>
        <v>4759.381036314446</v>
      </c>
    </row>
    <row r="172" spans="1:13" ht="12.75">
      <c r="A172" s="7">
        <f t="shared" si="73"/>
        <v>43646</v>
      </c>
      <c r="B172" s="23">
        <f aca="true" t="shared" si="84" ref="B172:B187">B171+1</f>
        <v>162</v>
      </c>
      <c r="C172" s="30">
        <f aca="true" t="shared" si="85" ref="C172:C187">IF(G171&gt;0.5,C171,"")</f>
        <v>227.1751863850151</v>
      </c>
      <c r="D172" s="30"/>
      <c r="E172" s="30">
        <f aca="true" t="shared" si="86" ref="E172:E187">IF(G171&gt;0.5,$J$3*G171,"")</f>
        <v>155.49689907796989</v>
      </c>
      <c r="F172" s="29">
        <f t="shared" si="74"/>
        <v>71.67828730704522</v>
      </c>
      <c r="G172" s="30">
        <f aca="true" t="shared" si="87" ref="G172:G187">IF(G171&gt;0.5,G171-F172,0)</f>
        <v>18587.949602049343</v>
      </c>
      <c r="H172" s="25">
        <f aca="true" t="shared" si="88" ref="H172:H188">IF(G171&gt;0.5,E172*$J$5,"")</f>
        <v>38.87422476949247</v>
      </c>
      <c r="I172" s="33">
        <f>IF(G171&lt;0.5,"",IF(OR(YEAR(A172)&lt;YEAR(A173),G172&lt;0.5),SUM($H$11:H172)-SUM($I$11:I171),""))</f>
      </c>
      <c r="J172" s="35">
        <f aca="true" t="shared" si="89" ref="J172:J187">IF(G171&gt;0.5,J171+E172,"")</f>
        <v>30390.329796421775</v>
      </c>
      <c r="K172" s="35">
        <f aca="true" t="shared" si="90" ref="K172:K187">IF(G171&gt;0.5,K171+F172,"")</f>
        <v>6412.050397950671</v>
      </c>
      <c r="L172" s="33">
        <f t="shared" si="75"/>
        <v>23765.84045137993</v>
      </c>
      <c r="M172" s="33">
        <f t="shared" si="83"/>
        <v>4759.381036314446</v>
      </c>
    </row>
    <row r="173" spans="1:13" ht="12.75">
      <c r="A173" s="7">
        <f t="shared" si="73"/>
        <v>43677</v>
      </c>
      <c r="B173" s="23">
        <f t="shared" si="84"/>
        <v>163</v>
      </c>
      <c r="C173" s="30">
        <f t="shared" si="85"/>
        <v>227.1751863850151</v>
      </c>
      <c r="D173" s="30"/>
      <c r="E173" s="30">
        <f t="shared" si="86"/>
        <v>154.89958001707785</v>
      </c>
      <c r="F173" s="29">
        <f t="shared" si="74"/>
        <v>72.27560636793726</v>
      </c>
      <c r="G173" s="30">
        <f t="shared" si="87"/>
        <v>18515.673995681405</v>
      </c>
      <c r="H173" s="25">
        <f t="shared" si="88"/>
        <v>38.72489500426946</v>
      </c>
      <c r="I173" s="33">
        <f>IF(G172&lt;0.5,"",IF(OR(YEAR(A173)&lt;YEAR(A174),G173&lt;0.5),SUM($H$11:H173)-SUM($I$11:I172),""))</f>
      </c>
      <c r="J173" s="35">
        <f t="shared" si="89"/>
        <v>30545.229376438852</v>
      </c>
      <c r="K173" s="35">
        <f t="shared" si="90"/>
        <v>6484.326004318608</v>
      </c>
      <c r="L173" s="33">
        <f t="shared" si="75"/>
        <v>23853.868073999944</v>
      </c>
      <c r="M173" s="33">
        <f aca="true" t="shared" si="91" ref="M173:M188">IF(G172&lt;0.5,"",IF(I173="",M172,I173/(1+$J$4)^B173+M172))</f>
        <v>4759.381036314446</v>
      </c>
    </row>
    <row r="174" spans="1:13" ht="12.75">
      <c r="A174" s="7">
        <f t="shared" si="73"/>
        <v>43708</v>
      </c>
      <c r="B174" s="23">
        <f t="shared" si="84"/>
        <v>164</v>
      </c>
      <c r="C174" s="30">
        <f t="shared" si="85"/>
        <v>227.1751863850151</v>
      </c>
      <c r="D174" s="30"/>
      <c r="E174" s="30">
        <f t="shared" si="86"/>
        <v>154.29728329734505</v>
      </c>
      <c r="F174" s="29">
        <f t="shared" si="74"/>
        <v>72.87790308767006</v>
      </c>
      <c r="G174" s="30">
        <f t="shared" si="87"/>
        <v>18442.796092593737</v>
      </c>
      <c r="H174" s="25">
        <f t="shared" si="88"/>
        <v>38.57432082433626</v>
      </c>
      <c r="I174" s="33">
        <f>IF(G173&lt;0.5,"",IF(OR(YEAR(A174)&lt;YEAR(A175),G174&lt;0.5),SUM($H$11:H174)-SUM($I$11:I173),""))</f>
      </c>
      <c r="J174" s="35">
        <f t="shared" si="89"/>
        <v>30699.5266597362</v>
      </c>
      <c r="K174" s="35">
        <f t="shared" si="90"/>
        <v>6557.203907406279</v>
      </c>
      <c r="L174" s="33">
        <f t="shared" si="75"/>
        <v>23941.385180167315</v>
      </c>
      <c r="M174" s="33">
        <f t="shared" si="91"/>
        <v>4759.381036314446</v>
      </c>
    </row>
    <row r="175" spans="1:13" ht="12.75">
      <c r="A175" s="7">
        <f t="shared" si="73"/>
        <v>43738</v>
      </c>
      <c r="B175" s="23">
        <f t="shared" si="84"/>
        <v>165</v>
      </c>
      <c r="C175" s="30">
        <f t="shared" si="85"/>
        <v>227.1751863850151</v>
      </c>
      <c r="D175" s="30"/>
      <c r="E175" s="30">
        <f t="shared" si="86"/>
        <v>153.68996743828114</v>
      </c>
      <c r="F175" s="29">
        <f t="shared" si="74"/>
        <v>73.48521894673397</v>
      </c>
      <c r="G175" s="30">
        <f t="shared" si="87"/>
        <v>18369.310873647002</v>
      </c>
      <c r="H175" s="25">
        <f t="shared" si="88"/>
        <v>38.422491859570286</v>
      </c>
      <c r="I175" s="33">
        <f>IF(G174&lt;0.5,"",IF(OR(YEAR(A175)&lt;YEAR(A176),G175&lt;0.5),SUM($H$11:H175)-SUM($I$11:I174),""))</f>
      </c>
      <c r="J175" s="35">
        <f t="shared" si="89"/>
        <v>30853.21662717448</v>
      </c>
      <c r="K175" s="35">
        <f t="shared" si="90"/>
        <v>6630.689126353012</v>
      </c>
      <c r="L175" s="33">
        <f t="shared" si="75"/>
        <v>24028.39473062369</v>
      </c>
      <c r="M175" s="33">
        <f t="shared" si="91"/>
        <v>4759.381036314446</v>
      </c>
    </row>
    <row r="176" spans="1:13" ht="12.75">
      <c r="A176" s="7">
        <f t="shared" si="73"/>
        <v>43769</v>
      </c>
      <c r="B176" s="23">
        <f t="shared" si="84"/>
        <v>166</v>
      </c>
      <c r="C176" s="30">
        <f t="shared" si="85"/>
        <v>227.1751863850151</v>
      </c>
      <c r="D176" s="30"/>
      <c r="E176" s="30">
        <f t="shared" si="86"/>
        <v>153.07759061372502</v>
      </c>
      <c r="F176" s="29">
        <f t="shared" si="74"/>
        <v>74.09759577129009</v>
      </c>
      <c r="G176" s="30">
        <f t="shared" si="87"/>
        <v>18295.21327787571</v>
      </c>
      <c r="H176" s="25">
        <f t="shared" si="88"/>
        <v>38.269397653431255</v>
      </c>
      <c r="I176" s="33">
        <f>IF(G175&lt;0.5,"",IF(OR(YEAR(A176)&lt;YEAR(A177),G176&lt;0.5),SUM($H$11:H176)-SUM($I$11:I175),""))</f>
      </c>
      <c r="J176" s="35">
        <f t="shared" si="89"/>
        <v>31006.294217788203</v>
      </c>
      <c r="K176" s="35">
        <f t="shared" si="90"/>
        <v>6704.786722124302</v>
      </c>
      <c r="L176" s="33">
        <f t="shared" si="75"/>
        <v>24114.899668939892</v>
      </c>
      <c r="M176" s="33">
        <f t="shared" si="91"/>
        <v>4759.381036314446</v>
      </c>
    </row>
    <row r="177" spans="1:13" ht="12.75">
      <c r="A177" s="7">
        <f t="shared" si="73"/>
        <v>43799</v>
      </c>
      <c r="B177" s="23">
        <f t="shared" si="84"/>
        <v>167</v>
      </c>
      <c r="C177" s="30">
        <f t="shared" si="85"/>
        <v>227.1751863850151</v>
      </c>
      <c r="D177" s="30"/>
      <c r="E177" s="30">
        <f t="shared" si="86"/>
        <v>152.46011064896425</v>
      </c>
      <c r="F177" s="29">
        <f t="shared" si="74"/>
        <v>74.71507573605086</v>
      </c>
      <c r="G177" s="30">
        <f t="shared" si="87"/>
        <v>18220.49820213966</v>
      </c>
      <c r="H177" s="25">
        <f t="shared" si="88"/>
        <v>38.11502766224106</v>
      </c>
      <c r="I177" s="33">
        <f>IF(G176&lt;0.5,"",IF(OR(YEAR(A177)&lt;YEAR(A178),G177&lt;0.5),SUM($H$11:H177)-SUM($I$11:I176),""))</f>
      </c>
      <c r="J177" s="35">
        <f t="shared" si="89"/>
        <v>31158.754328437168</v>
      </c>
      <c r="K177" s="35">
        <f t="shared" si="90"/>
        <v>6779.501797860353</v>
      </c>
      <c r="L177" s="33">
        <f t="shared" si="75"/>
        <v>24200.90292161548</v>
      </c>
      <c r="M177" s="33">
        <f t="shared" si="91"/>
        <v>4759.381036314446</v>
      </c>
    </row>
    <row r="178" spans="1:13" ht="12.75">
      <c r="A178" s="7">
        <f t="shared" si="73"/>
        <v>43830</v>
      </c>
      <c r="B178" s="23">
        <f t="shared" si="84"/>
        <v>168</v>
      </c>
      <c r="C178" s="30">
        <f t="shared" si="85"/>
        <v>227.1751863850151</v>
      </c>
      <c r="D178" s="30"/>
      <c r="E178" s="30">
        <f t="shared" si="86"/>
        <v>151.83748501783052</v>
      </c>
      <c r="F178" s="29">
        <f t="shared" si="74"/>
        <v>75.3377013671846</v>
      </c>
      <c r="G178" s="30">
        <f t="shared" si="87"/>
        <v>18145.160500772476</v>
      </c>
      <c r="H178" s="25">
        <f t="shared" si="88"/>
        <v>37.95937125445763</v>
      </c>
      <c r="I178" s="33">
        <f>IF(G177&lt;0.5,"",IF(OR(YEAR(A178)&lt;YEAR(A179),G178&lt;0.5),SUM($H$11:H178)-SUM($I$11:I177),""))</f>
        <v>465.5079600079762</v>
      </c>
      <c r="J178" s="35">
        <f t="shared" si="89"/>
        <v>31310.591813454997</v>
      </c>
      <c r="K178" s="35">
        <f t="shared" si="90"/>
        <v>6854.839499227537</v>
      </c>
      <c r="L178" s="33">
        <f t="shared" si="75"/>
        <v>24286.40739817779</v>
      </c>
      <c r="M178" s="33">
        <f t="shared" si="91"/>
        <v>4934.58949587135</v>
      </c>
    </row>
    <row r="179" spans="1:13" ht="12.75">
      <c r="A179" s="7">
        <f t="shared" si="73"/>
        <v>43861</v>
      </c>
      <c r="B179" s="23">
        <f t="shared" si="84"/>
        <v>169</v>
      </c>
      <c r="C179" s="30">
        <f t="shared" si="85"/>
        <v>227.1751863850151</v>
      </c>
      <c r="D179" s="30"/>
      <c r="E179" s="30">
        <f t="shared" si="86"/>
        <v>151.20967083977064</v>
      </c>
      <c r="F179" s="29">
        <f t="shared" si="74"/>
        <v>75.96551554524447</v>
      </c>
      <c r="G179" s="30">
        <f t="shared" si="87"/>
        <v>18069.19498522723</v>
      </c>
      <c r="H179" s="25">
        <f t="shared" si="88"/>
        <v>37.80241770994266</v>
      </c>
      <c r="I179" s="33">
        <f>IF(G178&lt;0.5,"",IF(OR(YEAR(A179)&lt;YEAR(A180),G179&lt;0.5),SUM($H$11:H179)-SUM($I$11:I178),""))</f>
      </c>
      <c r="J179" s="35">
        <f t="shared" si="89"/>
        <v>31461.801484294767</v>
      </c>
      <c r="K179" s="35">
        <f t="shared" si="90"/>
        <v>6930.805014772782</v>
      </c>
      <c r="L179" s="33">
        <f t="shared" si="75"/>
        <v>24371.415991280337</v>
      </c>
      <c r="M179" s="33">
        <f t="shared" si="91"/>
        <v>4934.58949587135</v>
      </c>
    </row>
    <row r="180" spans="1:13" ht="12.75">
      <c r="A180" s="7">
        <f t="shared" si="73"/>
        <v>43890</v>
      </c>
      <c r="B180" s="23">
        <f t="shared" si="84"/>
        <v>170</v>
      </c>
      <c r="C180" s="30">
        <f t="shared" si="85"/>
        <v>227.1751863850151</v>
      </c>
      <c r="D180" s="30"/>
      <c r="E180" s="30">
        <f t="shared" si="86"/>
        <v>150.5766248768936</v>
      </c>
      <c r="F180" s="29">
        <f t="shared" si="74"/>
        <v>76.59856150812152</v>
      </c>
      <c r="G180" s="30">
        <f t="shared" si="87"/>
        <v>17992.596423719107</v>
      </c>
      <c r="H180" s="25">
        <f t="shared" si="88"/>
        <v>37.6441562192234</v>
      </c>
      <c r="I180" s="33">
        <f>IF(G179&lt;0.5,"",IF(OR(YEAR(A180)&lt;YEAR(A181),G180&lt;0.5),SUM($H$11:H180)-SUM($I$11:I179),""))</f>
      </c>
      <c r="J180" s="35">
        <f t="shared" si="89"/>
        <v>31612.37810917166</v>
      </c>
      <c r="K180" s="35">
        <f t="shared" si="90"/>
        <v>7007.4035762809035</v>
      </c>
      <c r="L180" s="33">
        <f t="shared" si="75"/>
        <v>24455.93157680068</v>
      </c>
      <c r="M180" s="33">
        <f t="shared" si="91"/>
        <v>4934.58949587135</v>
      </c>
    </row>
    <row r="181" spans="1:13" ht="12.75">
      <c r="A181" s="7">
        <f t="shared" si="73"/>
        <v>43921</v>
      </c>
      <c r="B181" s="23">
        <f t="shared" si="84"/>
        <v>171</v>
      </c>
      <c r="C181" s="30">
        <f t="shared" si="85"/>
        <v>227.1751863850151</v>
      </c>
      <c r="D181" s="30"/>
      <c r="E181" s="30">
        <f t="shared" si="86"/>
        <v>149.93830353099256</v>
      </c>
      <c r="F181" s="29">
        <f t="shared" si="74"/>
        <v>77.23688285402255</v>
      </c>
      <c r="G181" s="30">
        <f t="shared" si="87"/>
        <v>17915.359540865084</v>
      </c>
      <c r="H181" s="25">
        <f t="shared" si="88"/>
        <v>37.48457588274814</v>
      </c>
      <c r="I181" s="33">
        <f>IF(G180&lt;0.5,"",IF(OR(YEAR(A181)&lt;YEAR(A182),G181&lt;0.5),SUM($H$11:H181)-SUM($I$11:I180),""))</f>
      </c>
      <c r="J181" s="35">
        <f t="shared" si="89"/>
        <v>31762.31641270265</v>
      </c>
      <c r="K181" s="35">
        <f t="shared" si="90"/>
        <v>7084.6404591349265</v>
      </c>
      <c r="L181" s="33">
        <f t="shared" si="75"/>
        <v>24539.957013937725</v>
      </c>
      <c r="M181" s="33">
        <f t="shared" si="91"/>
        <v>4934.58949587135</v>
      </c>
    </row>
    <row r="182" spans="1:13" ht="12.75">
      <c r="A182" s="7">
        <f t="shared" si="73"/>
        <v>43951</v>
      </c>
      <c r="B182" s="23">
        <f t="shared" si="84"/>
        <v>172</v>
      </c>
      <c r="C182" s="30">
        <f t="shared" si="85"/>
        <v>227.1751863850151</v>
      </c>
      <c r="D182" s="30"/>
      <c r="E182" s="30">
        <f t="shared" si="86"/>
        <v>149.29466284054237</v>
      </c>
      <c r="F182" s="29">
        <f t="shared" si="74"/>
        <v>77.88052354447274</v>
      </c>
      <c r="G182" s="30">
        <f t="shared" si="87"/>
        <v>17837.47901732061</v>
      </c>
      <c r="H182" s="25">
        <f t="shared" si="88"/>
        <v>37.32366571013559</v>
      </c>
      <c r="I182" s="33">
        <f>IF(G181&lt;0.5,"",IF(OR(YEAR(A182)&lt;YEAR(A183),G182&lt;0.5),SUM($H$11:H182)-SUM($I$11:I181),""))</f>
      </c>
      <c r="J182" s="35">
        <f t="shared" si="89"/>
        <v>31911.61107554319</v>
      </c>
      <c r="K182" s="35">
        <f t="shared" si="90"/>
        <v>7162.520982679399</v>
      </c>
      <c r="L182" s="33">
        <f t="shared" si="75"/>
        <v>24623.49514530844</v>
      </c>
      <c r="M182" s="33">
        <f t="shared" si="91"/>
        <v>4934.58949587135</v>
      </c>
    </row>
    <row r="183" spans="1:13" ht="12.75">
      <c r="A183" s="7">
        <f t="shared" si="73"/>
        <v>43982</v>
      </c>
      <c r="B183" s="23">
        <f t="shared" si="84"/>
        <v>173</v>
      </c>
      <c r="C183" s="30">
        <f t="shared" si="85"/>
        <v>227.1751863850151</v>
      </c>
      <c r="D183" s="30"/>
      <c r="E183" s="30">
        <f t="shared" si="86"/>
        <v>148.64565847767173</v>
      </c>
      <c r="F183" s="29">
        <f t="shared" si="74"/>
        <v>78.52952790734338</v>
      </c>
      <c r="G183" s="30">
        <f t="shared" si="87"/>
        <v>17758.949489413266</v>
      </c>
      <c r="H183" s="25">
        <f t="shared" si="88"/>
        <v>37.16141461941793</v>
      </c>
      <c r="I183" s="33">
        <f>IF(G182&lt;0.5,"",IF(OR(YEAR(A183)&lt;YEAR(A184),G183&lt;0.5),SUM($H$11:H183)-SUM($I$11:I182),""))</f>
      </c>
      <c r="J183" s="35">
        <f t="shared" si="89"/>
        <v>32060.256734020862</v>
      </c>
      <c r="K183" s="35">
        <f t="shared" si="90"/>
        <v>7241.050510586742</v>
      </c>
      <c r="L183" s="33">
        <f t="shared" si="75"/>
        <v>24706.54879704403</v>
      </c>
      <c r="M183" s="33">
        <f t="shared" si="91"/>
        <v>4934.58949587135</v>
      </c>
    </row>
    <row r="184" spans="1:13" ht="12.75">
      <c r="A184" s="7">
        <f t="shared" si="73"/>
        <v>44012</v>
      </c>
      <c r="B184" s="23">
        <f t="shared" si="84"/>
        <v>174</v>
      </c>
      <c r="C184" s="30">
        <f t="shared" si="85"/>
        <v>227.1751863850151</v>
      </c>
      <c r="D184" s="30"/>
      <c r="E184" s="30">
        <f t="shared" si="86"/>
        <v>147.99124574511055</v>
      </c>
      <c r="F184" s="29">
        <f t="shared" si="74"/>
        <v>79.18394063990456</v>
      </c>
      <c r="G184" s="30">
        <f t="shared" si="87"/>
        <v>17679.76554877336</v>
      </c>
      <c r="H184" s="25">
        <f t="shared" si="88"/>
        <v>36.99781143627764</v>
      </c>
      <c r="I184" s="33">
        <f>IF(G183&lt;0.5,"",IF(OR(YEAR(A184)&lt;YEAR(A185),G184&lt;0.5),SUM($H$11:H184)-SUM($I$11:I183),""))</f>
      </c>
      <c r="J184" s="35">
        <f t="shared" si="89"/>
        <v>32208.247979765973</v>
      </c>
      <c r="K184" s="35">
        <f t="shared" si="90"/>
        <v>7320.234451226647</v>
      </c>
      <c r="L184" s="33">
        <f t="shared" si="75"/>
        <v>24789.120778885546</v>
      </c>
      <c r="M184" s="33">
        <f t="shared" si="91"/>
        <v>4934.58949587135</v>
      </c>
    </row>
    <row r="185" spans="1:13" ht="12.75">
      <c r="A185" s="7">
        <f t="shared" si="73"/>
        <v>44043</v>
      </c>
      <c r="B185" s="23">
        <f t="shared" si="84"/>
        <v>175</v>
      </c>
      <c r="C185" s="30">
        <f t="shared" si="85"/>
        <v>227.1751863850151</v>
      </c>
      <c r="D185" s="30"/>
      <c r="E185" s="30">
        <f t="shared" si="86"/>
        <v>147.33137957311135</v>
      </c>
      <c r="F185" s="29">
        <f t="shared" si="74"/>
        <v>79.84380681190376</v>
      </c>
      <c r="G185" s="30">
        <f t="shared" si="87"/>
        <v>17599.921741961458</v>
      </c>
      <c r="H185" s="25">
        <f t="shared" si="88"/>
        <v>36.83284489327784</v>
      </c>
      <c r="I185" s="33">
        <f>IF(G184&lt;0.5,"",IF(OR(YEAR(A185)&lt;YEAR(A186),G185&lt;0.5),SUM($H$11:H185)-SUM($I$11:I184),""))</f>
      </c>
      <c r="J185" s="35">
        <f t="shared" si="89"/>
        <v>32355.579359339084</v>
      </c>
      <c r="K185" s="35">
        <f t="shared" si="90"/>
        <v>7400.078258038551</v>
      </c>
      <c r="L185" s="33">
        <f t="shared" si="75"/>
        <v>24871.213884278935</v>
      </c>
      <c r="M185" s="33">
        <f t="shared" si="91"/>
        <v>4934.58949587135</v>
      </c>
    </row>
    <row r="186" spans="1:13" ht="12.75">
      <c r="A186" s="7">
        <f t="shared" si="73"/>
        <v>44074</v>
      </c>
      <c r="B186" s="23">
        <f t="shared" si="84"/>
        <v>176</v>
      </c>
      <c r="C186" s="30">
        <f t="shared" si="85"/>
        <v>227.1751863850151</v>
      </c>
      <c r="D186" s="30"/>
      <c r="E186" s="30">
        <f t="shared" si="86"/>
        <v>146.66601451634548</v>
      </c>
      <c r="F186" s="29">
        <f t="shared" si="74"/>
        <v>80.50917186866963</v>
      </c>
      <c r="G186" s="30">
        <f t="shared" si="87"/>
        <v>17519.412570092787</v>
      </c>
      <c r="H186" s="25">
        <f t="shared" si="88"/>
        <v>36.66650362908637</v>
      </c>
      <c r="I186" s="33">
        <f>IF(G185&lt;0.5,"",IF(OR(YEAR(A186)&lt;YEAR(A187),G186&lt;0.5),SUM($H$11:H186)-SUM($I$11:I185),""))</f>
      </c>
      <c r="J186" s="35">
        <f t="shared" si="89"/>
        <v>32502.24537385543</v>
      </c>
      <c r="K186" s="35">
        <f t="shared" si="90"/>
        <v>7480.587429907221</v>
      </c>
      <c r="L186" s="33">
        <f t="shared" si="75"/>
        <v>24952.830890469544</v>
      </c>
      <c r="M186" s="33">
        <f t="shared" si="91"/>
        <v>4934.58949587135</v>
      </c>
    </row>
    <row r="187" spans="1:13" ht="12.75">
      <c r="A187" s="7">
        <f t="shared" si="73"/>
        <v>44104</v>
      </c>
      <c r="B187" s="23">
        <f t="shared" si="84"/>
        <v>177</v>
      </c>
      <c r="C187" s="30">
        <f t="shared" si="85"/>
        <v>227.1751863850151</v>
      </c>
      <c r="D187" s="30"/>
      <c r="E187" s="30">
        <f t="shared" si="86"/>
        <v>145.99510475077324</v>
      </c>
      <c r="F187" s="29">
        <f t="shared" si="74"/>
        <v>81.18008163424187</v>
      </c>
      <c r="G187" s="30">
        <f t="shared" si="87"/>
        <v>17438.232488458547</v>
      </c>
      <c r="H187" s="25">
        <f t="shared" si="88"/>
        <v>36.49877618769331</v>
      </c>
      <c r="I187" s="33">
        <f>IF(G186&lt;0.5,"",IF(OR(YEAR(A187)&lt;YEAR(A188),G187&lt;0.5),SUM($H$11:H187)-SUM($I$11:I186),""))</f>
      </c>
      <c r="J187" s="35">
        <f t="shared" si="89"/>
        <v>32648.240478606203</v>
      </c>
      <c r="K187" s="35">
        <f t="shared" si="90"/>
        <v>7561.767511541463</v>
      </c>
      <c r="L187" s="33">
        <f t="shared" si="75"/>
        <v>25033.97455859608</v>
      </c>
      <c r="M187" s="33">
        <f t="shared" si="91"/>
        <v>4934.58949587135</v>
      </c>
    </row>
    <row r="188" spans="1:13" ht="12.75">
      <c r="A188" s="7">
        <f t="shared" si="73"/>
        <v>44135</v>
      </c>
      <c r="B188" s="23">
        <f>B187+1</f>
        <v>178</v>
      </c>
      <c r="C188" s="30">
        <f>IF(G187&gt;0.5,C187,"")</f>
        <v>227.1751863850151</v>
      </c>
      <c r="D188" s="30"/>
      <c r="E188" s="30">
        <f>IF(G187&gt;0.5,$J$3*G187,"")</f>
        <v>145.31860407048788</v>
      </c>
      <c r="F188" s="29">
        <f t="shared" si="74"/>
        <v>81.85658231452723</v>
      </c>
      <c r="G188" s="30">
        <f>IF(G187&gt;0.5,G187-F188,0)</f>
        <v>17356.37590614402</v>
      </c>
      <c r="H188" s="25">
        <f t="shared" si="88"/>
        <v>36.32965101762197</v>
      </c>
      <c r="I188" s="33">
        <f>IF(G187&lt;0.5,"",IF(OR(YEAR(A188)&lt;YEAR(A189),G188&lt;0.5),SUM($H$11:H188)-SUM($I$11:I187),""))</f>
      </c>
      <c r="J188" s="35">
        <f>IF(G187&gt;0.5,J187+E188,"")</f>
        <v>32793.55908267669</v>
      </c>
      <c r="K188" s="35">
        <f>IF(G187&gt;0.5,K187+F188,"")</f>
        <v>7643.62409385599</v>
      </c>
      <c r="L188" s="33">
        <f t="shared" si="75"/>
        <v>25114.64763378402</v>
      </c>
      <c r="M188" s="33">
        <f t="shared" si="91"/>
        <v>4934.58949587135</v>
      </c>
    </row>
    <row r="189" spans="1:13" ht="12.75">
      <c r="A189" s="7">
        <f t="shared" si="73"/>
        <v>44165</v>
      </c>
      <c r="B189" s="23">
        <f aca="true" t="shared" si="92" ref="B189:B252">B188+1</f>
        <v>179</v>
      </c>
      <c r="C189" s="30">
        <f aca="true" t="shared" si="93" ref="C189:C252">IF(G188&gt;0.5,C188,"")</f>
        <v>227.1751863850151</v>
      </c>
      <c r="D189" s="30"/>
      <c r="E189" s="30">
        <f aca="true" t="shared" si="94" ref="E189:E252">IF(G188&gt;0.5,$J$3*G188,"")</f>
        <v>144.63646588453352</v>
      </c>
      <c r="F189" s="29">
        <f t="shared" si="74"/>
        <v>82.53872050048159</v>
      </c>
      <c r="G189" s="30">
        <f aca="true" t="shared" si="95" ref="G189:G252">IF(G188&gt;0.5,G188-F189,0)</f>
        <v>17273.83718564354</v>
      </c>
      <c r="H189" s="25">
        <f aca="true" t="shared" si="96" ref="H189:H252">IF(G188&gt;0.5,E189*$J$5,"")</f>
        <v>36.15911647113338</v>
      </c>
      <c r="I189" s="33">
        <f>IF(G188&lt;0.5,"",IF(OR(YEAR(A189)&lt;YEAR(A190),G189&lt;0.5),SUM($H$11:H189)-SUM($I$11:I188),""))</f>
      </c>
      <c r="J189" s="35">
        <f aca="true" t="shared" si="97" ref="J189:J252">IF(G188&gt;0.5,J188+E189,"")</f>
        <v>32938.19554856123</v>
      </c>
      <c r="K189" s="35">
        <f aca="true" t="shared" si="98" ref="K189:K252">IF(G188&gt;0.5,K188+F189,"")</f>
        <v>7726.162814356472</v>
      </c>
      <c r="L189" s="33">
        <f t="shared" si="75"/>
        <v>25194.852845238478</v>
      </c>
      <c r="M189" s="33">
        <f aca="true" t="shared" si="99" ref="M189:M252">IF(G188&lt;0.5,"",IF(I189="",M188,I189/(1+$J$4)^B189+M188))</f>
        <v>4934.58949587135</v>
      </c>
    </row>
    <row r="190" spans="1:13" ht="12.75">
      <c r="A190" s="7">
        <f t="shared" si="73"/>
        <v>44196</v>
      </c>
      <c r="B190" s="23">
        <f t="shared" si="92"/>
        <v>180</v>
      </c>
      <c r="C190" s="30">
        <f t="shared" si="93"/>
        <v>227.1751863850151</v>
      </c>
      <c r="D190" s="30"/>
      <c r="E190" s="30">
        <f t="shared" si="94"/>
        <v>143.94864321369616</v>
      </c>
      <c r="F190" s="29">
        <f t="shared" si="74"/>
        <v>83.22654317131895</v>
      </c>
      <c r="G190" s="30">
        <f t="shared" si="95"/>
        <v>17190.61064247222</v>
      </c>
      <c r="H190" s="25">
        <f t="shared" si="96"/>
        <v>35.98716080342404</v>
      </c>
      <c r="I190" s="33">
        <f>IF(G189&lt;0.5,"",IF(OR(YEAR(A190)&lt;YEAR(A191),G190&lt;0.5),SUM($H$11:H190)-SUM($I$11:I189),""))</f>
        <v>442.88809457998195</v>
      </c>
      <c r="J190" s="35">
        <f t="shared" si="97"/>
        <v>33082.144191774925</v>
      </c>
      <c r="K190" s="35">
        <f t="shared" si="98"/>
        <v>7809.389357527791</v>
      </c>
      <c r="L190" s="33">
        <f t="shared" si="75"/>
        <v>25274.59290633653</v>
      </c>
      <c r="M190" s="33">
        <f t="shared" si="99"/>
        <v>5090.046279173176</v>
      </c>
    </row>
    <row r="191" spans="1:13" ht="12.75">
      <c r="A191" s="7">
        <f t="shared" si="73"/>
        <v>44227</v>
      </c>
      <c r="B191" s="23">
        <f t="shared" si="92"/>
        <v>181</v>
      </c>
      <c r="C191" s="30">
        <f t="shared" si="93"/>
        <v>227.1751863850151</v>
      </c>
      <c r="D191" s="30"/>
      <c r="E191" s="30">
        <f t="shared" si="94"/>
        <v>143.2550886872685</v>
      </c>
      <c r="F191" s="29">
        <f t="shared" si="74"/>
        <v>83.9200976977466</v>
      </c>
      <c r="G191" s="30">
        <f t="shared" si="95"/>
        <v>17106.690544774472</v>
      </c>
      <c r="H191" s="25">
        <f t="shared" si="96"/>
        <v>35.81377217181713</v>
      </c>
      <c r="I191" s="33">
        <f>IF(G190&lt;0.5,"",IF(OR(YEAR(A191)&lt;YEAR(A192),G191&lt;0.5),SUM($H$11:H191)-SUM($I$11:I190),""))</f>
      </c>
      <c r="J191" s="35">
        <f t="shared" si="97"/>
        <v>33225.399280462196</v>
      </c>
      <c r="K191" s="35">
        <f t="shared" si="98"/>
        <v>7893.309455225537</v>
      </c>
      <c r="L191" s="33">
        <f t="shared" si="75"/>
        <v>25353.870514719016</v>
      </c>
      <c r="M191" s="33">
        <f t="shared" si="99"/>
        <v>5090.046279173176</v>
      </c>
    </row>
    <row r="192" spans="1:13" ht="12.75">
      <c r="A192" s="7">
        <f t="shared" si="73"/>
        <v>44255</v>
      </c>
      <c r="B192" s="23">
        <f t="shared" si="92"/>
        <v>182</v>
      </c>
      <c r="C192" s="30">
        <f t="shared" si="93"/>
        <v>227.1751863850151</v>
      </c>
      <c r="D192" s="30"/>
      <c r="E192" s="30">
        <f t="shared" si="94"/>
        <v>142.55575453978727</v>
      </c>
      <c r="F192" s="29">
        <f t="shared" si="74"/>
        <v>84.61943184522784</v>
      </c>
      <c r="G192" s="30">
        <f t="shared" si="95"/>
        <v>17022.071112929243</v>
      </c>
      <c r="H192" s="25">
        <f t="shared" si="96"/>
        <v>35.63893863494682</v>
      </c>
      <c r="I192" s="33">
        <f>IF(G191&lt;0.5,"",IF(OR(YEAR(A192)&lt;YEAR(A193),G192&lt;0.5),SUM($H$11:H192)-SUM($I$11:I191),""))</f>
      </c>
      <c r="J192" s="35">
        <f t="shared" si="97"/>
        <v>33367.955035001985</v>
      </c>
      <c r="K192" s="35">
        <f t="shared" si="98"/>
        <v>7977.928887070765</v>
      </c>
      <c r="L192" s="33">
        <f t="shared" si="75"/>
        <v>25432.688352381803</v>
      </c>
      <c r="M192" s="33">
        <f t="shared" si="99"/>
        <v>5090.046279173176</v>
      </c>
    </row>
    <row r="193" spans="1:13" ht="12.75">
      <c r="A193" s="7">
        <f t="shared" si="73"/>
        <v>44286</v>
      </c>
      <c r="B193" s="23">
        <f t="shared" si="92"/>
        <v>183</v>
      </c>
      <c r="C193" s="30">
        <f t="shared" si="93"/>
        <v>227.1751863850151</v>
      </c>
      <c r="D193" s="30"/>
      <c r="E193" s="30">
        <f t="shared" si="94"/>
        <v>141.8505926077437</v>
      </c>
      <c r="F193" s="29">
        <f t="shared" si="74"/>
        <v>85.32459377727142</v>
      </c>
      <c r="G193" s="30">
        <f t="shared" si="95"/>
        <v>16936.746519151973</v>
      </c>
      <c r="H193" s="25">
        <f t="shared" si="96"/>
        <v>35.46264815193592</v>
      </c>
      <c r="I193" s="33">
        <f>IF(G192&lt;0.5,"",IF(OR(YEAR(A193)&lt;YEAR(A194),G193&lt;0.5),SUM($H$11:H193)-SUM($I$11:I192),""))</f>
      </c>
      <c r="J193" s="35">
        <f t="shared" si="97"/>
        <v>33509.80562760973</v>
      </c>
      <c r="K193" s="35">
        <f t="shared" si="98"/>
        <v>8063.253480848037</v>
      </c>
      <c r="L193" s="33">
        <f t="shared" si="75"/>
        <v>25511.049085766514</v>
      </c>
      <c r="M193" s="33">
        <f t="shared" si="99"/>
        <v>5090.046279173176</v>
      </c>
    </row>
    <row r="194" spans="1:13" ht="12.75">
      <c r="A194" s="7">
        <f t="shared" si="73"/>
        <v>44316</v>
      </c>
      <c r="B194" s="23">
        <f t="shared" si="92"/>
        <v>184</v>
      </c>
      <c r="C194" s="30">
        <f t="shared" si="93"/>
        <v>227.1751863850151</v>
      </c>
      <c r="D194" s="30"/>
      <c r="E194" s="30">
        <f t="shared" si="94"/>
        <v>141.13955432626645</v>
      </c>
      <c r="F194" s="29">
        <f t="shared" si="74"/>
        <v>86.03563205874866</v>
      </c>
      <c r="G194" s="30">
        <f t="shared" si="95"/>
        <v>16850.710887093224</v>
      </c>
      <c r="H194" s="25">
        <f t="shared" si="96"/>
        <v>35.28488858156661</v>
      </c>
      <c r="I194" s="33">
        <f>IF(G193&lt;0.5,"",IF(OR(YEAR(A194)&lt;YEAR(A195),G194&lt;0.5),SUM($H$11:H194)-SUM($I$11:I193),""))</f>
      </c>
      <c r="J194" s="35">
        <f t="shared" si="97"/>
        <v>33650.945181936</v>
      </c>
      <c r="K194" s="35">
        <f t="shared" si="98"/>
        <v>8149.289112906786</v>
      </c>
      <c r="L194" s="33">
        <f t="shared" si="75"/>
        <v>25588.955365850732</v>
      </c>
      <c r="M194" s="33">
        <f t="shared" si="99"/>
        <v>5090.046279173176</v>
      </c>
    </row>
    <row r="195" spans="1:13" ht="12.75">
      <c r="A195" s="7">
        <f t="shared" si="73"/>
        <v>44347</v>
      </c>
      <c r="B195" s="23">
        <f t="shared" si="92"/>
        <v>185</v>
      </c>
      <c r="C195" s="30">
        <f t="shared" si="93"/>
        <v>227.1751863850151</v>
      </c>
      <c r="D195" s="30"/>
      <c r="E195" s="30">
        <f t="shared" si="94"/>
        <v>140.42259072577687</v>
      </c>
      <c r="F195" s="29">
        <f t="shared" si="74"/>
        <v>86.75259565923824</v>
      </c>
      <c r="G195" s="30">
        <f t="shared" si="95"/>
        <v>16763.958291433984</v>
      </c>
      <c r="H195" s="25">
        <f t="shared" si="96"/>
        <v>35.10564768144422</v>
      </c>
      <c r="I195" s="33">
        <f>IF(G194&lt;0.5,"",IF(OR(YEAR(A195)&lt;YEAR(A196),G195&lt;0.5),SUM($H$11:H195)-SUM($I$11:I194),""))</f>
      </c>
      <c r="J195" s="35">
        <f t="shared" si="97"/>
        <v>33791.367772661775</v>
      </c>
      <c r="K195" s="35">
        <f t="shared" si="98"/>
        <v>8236.041708566025</v>
      </c>
      <c r="L195" s="33">
        <f t="shared" si="75"/>
        <v>25666.409828237694</v>
      </c>
      <c r="M195" s="33">
        <f t="shared" si="99"/>
        <v>5090.046279173176</v>
      </c>
    </row>
    <row r="196" spans="1:13" ht="12.75">
      <c r="A196" s="7">
        <f t="shared" si="73"/>
        <v>44377</v>
      </c>
      <c r="B196" s="23">
        <f t="shared" si="92"/>
        <v>186</v>
      </c>
      <c r="C196" s="30">
        <f t="shared" si="93"/>
        <v>227.1751863850151</v>
      </c>
      <c r="D196" s="30"/>
      <c r="E196" s="30">
        <f t="shared" si="94"/>
        <v>139.69965242861653</v>
      </c>
      <c r="F196" s="29">
        <f t="shared" si="74"/>
        <v>87.47553395639858</v>
      </c>
      <c r="G196" s="30">
        <f t="shared" si="95"/>
        <v>16676.482757477585</v>
      </c>
      <c r="H196" s="25">
        <f t="shared" si="96"/>
        <v>34.92491310715413</v>
      </c>
      <c r="I196" s="33">
        <f>IF(G195&lt;0.5,"",IF(OR(YEAR(A196)&lt;YEAR(A197),G196&lt;0.5),SUM($H$11:H196)-SUM($I$11:I195),""))</f>
      </c>
      <c r="J196" s="35">
        <f t="shared" si="97"/>
        <v>33931.06742509039</v>
      </c>
      <c r="K196" s="35">
        <f t="shared" si="98"/>
        <v>8323.517242522423</v>
      </c>
      <c r="L196" s="33">
        <f t="shared" si="75"/>
        <v>25743.415093245443</v>
      </c>
      <c r="M196" s="33">
        <f t="shared" si="99"/>
        <v>5090.046279173176</v>
      </c>
    </row>
    <row r="197" spans="1:13" ht="12.75">
      <c r="A197" s="7">
        <f t="shared" si="73"/>
        <v>44408</v>
      </c>
      <c r="B197" s="23">
        <f t="shared" si="92"/>
        <v>187</v>
      </c>
      <c r="C197" s="30">
        <f t="shared" si="93"/>
        <v>227.1751863850151</v>
      </c>
      <c r="D197" s="30"/>
      <c r="E197" s="30">
        <f t="shared" si="94"/>
        <v>138.97068964564653</v>
      </c>
      <c r="F197" s="29">
        <f t="shared" si="74"/>
        <v>88.20449673936858</v>
      </c>
      <c r="G197" s="30">
        <f t="shared" si="95"/>
        <v>16588.278260738214</v>
      </c>
      <c r="H197" s="25">
        <f t="shared" si="96"/>
        <v>34.74267241141163</v>
      </c>
      <c r="I197" s="33">
        <f>IF(G196&lt;0.5,"",IF(OR(YEAR(A197)&lt;YEAR(A198),G197&lt;0.5),SUM($H$11:H197)-SUM($I$11:I196),""))</f>
      </c>
      <c r="J197" s="35">
        <f t="shared" si="97"/>
        <v>34070.03811473604</v>
      </c>
      <c r="K197" s="35">
        <f t="shared" si="98"/>
        <v>8411.721739261791</v>
      </c>
      <c r="L197" s="33">
        <f t="shared" si="75"/>
        <v>25819.973765995484</v>
      </c>
      <c r="M197" s="33">
        <f t="shared" si="99"/>
        <v>5090.046279173176</v>
      </c>
    </row>
    <row r="198" spans="1:13" ht="12.75">
      <c r="A198" s="7">
        <f t="shared" si="73"/>
        <v>44439</v>
      </c>
      <c r="B198" s="23">
        <f t="shared" si="92"/>
        <v>188</v>
      </c>
      <c r="C198" s="30">
        <f t="shared" si="93"/>
        <v>227.1751863850151</v>
      </c>
      <c r="D198" s="30"/>
      <c r="E198" s="30">
        <f t="shared" si="94"/>
        <v>138.23565217281845</v>
      </c>
      <c r="F198" s="29">
        <f t="shared" si="74"/>
        <v>88.93953421219666</v>
      </c>
      <c r="G198" s="30">
        <f t="shared" si="95"/>
        <v>16499.338726526017</v>
      </c>
      <c r="H198" s="25">
        <f t="shared" si="96"/>
        <v>34.55891304320461</v>
      </c>
      <c r="I198" s="33">
        <f>IF(G197&lt;0.5,"",IF(OR(YEAR(A198)&lt;YEAR(A199),G198&lt;0.5),SUM($H$11:H198)-SUM($I$11:I197),""))</f>
      </c>
      <c r="J198" s="35">
        <f t="shared" si="97"/>
        <v>34208.27376690886</v>
      </c>
      <c r="K198" s="35">
        <f t="shared" si="98"/>
        <v>8500.661273473988</v>
      </c>
      <c r="L198" s="33">
        <f t="shared" si="75"/>
        <v>25896.08843650091</v>
      </c>
      <c r="M198" s="33">
        <f t="shared" si="99"/>
        <v>5090.046279173176</v>
      </c>
    </row>
    <row r="199" spans="1:13" ht="12.75">
      <c r="A199" s="7">
        <f t="shared" si="73"/>
        <v>44469</v>
      </c>
      <c r="B199" s="23">
        <f t="shared" si="92"/>
        <v>189</v>
      </c>
      <c r="C199" s="30">
        <f t="shared" si="93"/>
        <v>227.1751863850151</v>
      </c>
      <c r="D199" s="30"/>
      <c r="E199" s="30">
        <f t="shared" si="94"/>
        <v>137.4944893877168</v>
      </c>
      <c r="F199" s="29">
        <f t="shared" si="74"/>
        <v>89.6806969972983</v>
      </c>
      <c r="G199" s="30">
        <f t="shared" si="95"/>
        <v>16409.65802952872</v>
      </c>
      <c r="H199" s="25">
        <f t="shared" si="96"/>
        <v>34.3736223469292</v>
      </c>
      <c r="I199" s="33">
        <f>IF(G198&lt;0.5,"",IF(OR(YEAR(A199)&lt;YEAR(A200),G199&lt;0.5),SUM($H$11:H199)-SUM($I$11:I198),""))</f>
      </c>
      <c r="J199" s="35">
        <f t="shared" si="97"/>
        <v>34345.76825629658</v>
      </c>
      <c r="K199" s="35">
        <f t="shared" si="98"/>
        <v>8590.341970471287</v>
      </c>
      <c r="L199" s="33">
        <f t="shared" si="75"/>
        <v>25971.76167975403</v>
      </c>
      <c r="M199" s="33">
        <f t="shared" si="99"/>
        <v>5090.046279173176</v>
      </c>
    </row>
    <row r="200" spans="1:13" ht="12.75">
      <c r="A200" s="7">
        <f t="shared" si="73"/>
        <v>44500</v>
      </c>
      <c r="B200" s="23">
        <f t="shared" si="92"/>
        <v>190</v>
      </c>
      <c r="C200" s="30">
        <f t="shared" si="93"/>
        <v>227.1751863850151</v>
      </c>
      <c r="D200" s="30"/>
      <c r="E200" s="30">
        <f t="shared" si="94"/>
        <v>136.74715024607266</v>
      </c>
      <c r="F200" s="29">
        <f t="shared" si="74"/>
        <v>90.42803613894245</v>
      </c>
      <c r="G200" s="30">
        <f t="shared" si="95"/>
        <v>16319.229993389778</v>
      </c>
      <c r="H200" s="25">
        <f t="shared" si="96"/>
        <v>34.186787561518166</v>
      </c>
      <c r="I200" s="33">
        <f>IF(G199&lt;0.5,"",IF(OR(YEAR(A200)&lt;YEAR(A201),G200&lt;0.5),SUM($H$11:H200)-SUM($I$11:I199),""))</f>
      </c>
      <c r="J200" s="35">
        <f t="shared" si="97"/>
        <v>34482.515406542654</v>
      </c>
      <c r="K200" s="35">
        <f t="shared" si="98"/>
        <v>8680.77000661023</v>
      </c>
      <c r="L200" s="33">
        <f t="shared" si="75"/>
        <v>26046.996055813466</v>
      </c>
      <c r="M200" s="33">
        <f t="shared" si="99"/>
        <v>5090.046279173176</v>
      </c>
    </row>
    <row r="201" spans="1:13" ht="12.75">
      <c r="A201" s="7">
        <f t="shared" si="73"/>
        <v>44530</v>
      </c>
      <c r="B201" s="23">
        <f t="shared" si="92"/>
        <v>191</v>
      </c>
      <c r="C201" s="30">
        <f t="shared" si="93"/>
        <v>227.1751863850151</v>
      </c>
      <c r="D201" s="30"/>
      <c r="E201" s="30">
        <f t="shared" si="94"/>
        <v>135.99358327824814</v>
      </c>
      <c r="F201" s="29">
        <f t="shared" si="74"/>
        <v>91.18160310676697</v>
      </c>
      <c r="G201" s="30">
        <f t="shared" si="95"/>
        <v>16228.048390283011</v>
      </c>
      <c r="H201" s="25">
        <f t="shared" si="96"/>
        <v>33.998395819562035</v>
      </c>
      <c r="I201" s="33">
        <f>IF(G200&lt;0.5,"",IF(OR(YEAR(A201)&lt;YEAR(A202),G201&lt;0.5),SUM($H$11:H201)-SUM($I$11:I200),""))</f>
      </c>
      <c r="J201" s="35">
        <f t="shared" si="97"/>
        <v>34618.508989820904</v>
      </c>
      <c r="K201" s="35">
        <f t="shared" si="98"/>
        <v>8771.951609716996</v>
      </c>
      <c r="L201" s="33">
        <f t="shared" si="75"/>
        <v>26121.794109890783</v>
      </c>
      <c r="M201" s="33">
        <f t="shared" si="99"/>
        <v>5090.046279173176</v>
      </c>
    </row>
    <row r="202" spans="1:13" ht="12.75">
      <c r="A202" s="7">
        <f t="shared" si="73"/>
        <v>44561</v>
      </c>
      <c r="B202" s="23">
        <f t="shared" si="92"/>
        <v>192</v>
      </c>
      <c r="C202" s="30">
        <f t="shared" si="93"/>
        <v>227.1751863850151</v>
      </c>
      <c r="D202" s="30"/>
      <c r="E202" s="30">
        <f t="shared" si="94"/>
        <v>135.23373658569176</v>
      </c>
      <c r="F202" s="29">
        <f t="shared" si="74"/>
        <v>91.94144979932335</v>
      </c>
      <c r="G202" s="30">
        <f t="shared" si="95"/>
        <v>16136.106940483687</v>
      </c>
      <c r="H202" s="25">
        <f t="shared" si="96"/>
        <v>33.80843414642294</v>
      </c>
      <c r="I202" s="33">
        <f>IF(G201&lt;0.5,"",IF(OR(YEAR(A202)&lt;YEAR(A203),G202&lt;0.5),SUM($H$11:H202)-SUM($I$11:I201),""))</f>
        <v>417.89963365791846</v>
      </c>
      <c r="J202" s="35">
        <f t="shared" si="97"/>
        <v>34753.7427264066</v>
      </c>
      <c r="K202" s="35">
        <f t="shared" si="98"/>
        <v>8863.89305951632</v>
      </c>
      <c r="L202" s="33">
        <f t="shared" si="75"/>
        <v>26196.158372436585</v>
      </c>
      <c r="M202" s="33">
        <f t="shared" si="99"/>
        <v>5226.842901065071</v>
      </c>
    </row>
    <row r="203" spans="1:13" ht="12.75">
      <c r="A203" s="7">
        <f t="shared" si="73"/>
        <v>44592</v>
      </c>
      <c r="B203" s="23">
        <f t="shared" si="92"/>
        <v>193</v>
      </c>
      <c r="C203" s="30">
        <f t="shared" si="93"/>
        <v>227.1751863850151</v>
      </c>
      <c r="D203" s="30"/>
      <c r="E203" s="30">
        <f t="shared" si="94"/>
        <v>134.46755783736407</v>
      </c>
      <c r="F203" s="29">
        <f t="shared" si="74"/>
        <v>92.70762854765104</v>
      </c>
      <c r="G203" s="30">
        <f t="shared" si="95"/>
        <v>16043.399311936037</v>
      </c>
      <c r="H203" s="25">
        <f t="shared" si="96"/>
        <v>33.61688945934102</v>
      </c>
      <c r="I203" s="33">
        <f>IF(G202&lt;0.5,"",IF(OR(YEAR(A203)&lt;YEAR(A204),G203&lt;0.5),SUM($H$11:H203)-SUM($I$11:I202),""))</f>
      </c>
      <c r="J203" s="35">
        <f t="shared" si="97"/>
        <v>34888.21028424396</v>
      </c>
      <c r="K203" s="35">
        <f t="shared" si="98"/>
        <v>8956.60068806397</v>
      </c>
      <c r="L203" s="33">
        <f t="shared" si="75"/>
        <v>26270.091359226113</v>
      </c>
      <c r="M203" s="33">
        <f t="shared" si="99"/>
        <v>5226.842901065071</v>
      </c>
    </row>
    <row r="204" spans="1:13" ht="12.75">
      <c r="A204" s="7">
        <f t="shared" si="73"/>
        <v>44620</v>
      </c>
      <c r="B204" s="23">
        <f t="shared" si="92"/>
        <v>194</v>
      </c>
      <c r="C204" s="30">
        <f t="shared" si="93"/>
        <v>227.1751863850151</v>
      </c>
      <c r="D204" s="30"/>
      <c r="E204" s="30">
        <f t="shared" si="94"/>
        <v>133.69499426613365</v>
      </c>
      <c r="F204" s="29">
        <f t="shared" si="74"/>
        <v>93.48019211888146</v>
      </c>
      <c r="G204" s="30">
        <f t="shared" si="95"/>
        <v>15949.919119817156</v>
      </c>
      <c r="H204" s="25">
        <f t="shared" si="96"/>
        <v>33.42374856653341</v>
      </c>
      <c r="I204" s="33">
        <f>IF(G203&lt;0.5,"",IF(OR(YEAR(A204)&lt;YEAR(A205),G204&lt;0.5),SUM($H$11:H204)-SUM($I$11:I203),""))</f>
      </c>
      <c r="J204" s="35">
        <f t="shared" si="97"/>
        <v>35021.905278510094</v>
      </c>
      <c r="K204" s="35">
        <f t="shared" si="98"/>
        <v>9050.080880182852</v>
      </c>
      <c r="L204" s="33">
        <f t="shared" si="75"/>
        <v>26343.59557144437</v>
      </c>
      <c r="M204" s="33">
        <f t="shared" si="99"/>
        <v>5226.842901065071</v>
      </c>
    </row>
    <row r="205" spans="1:13" ht="12.75">
      <c r="A205" s="7">
        <f aca="true" t="shared" si="100" ref="A205:A268">IF($C$6&lt;27,DATE((YEAR(A204)-1900),MONTH(A204)+1,$C$6),DATE((YEAR(A204)-1900),MONTH(A204)+2,1)-1)</f>
        <v>44651</v>
      </c>
      <c r="B205" s="23">
        <f t="shared" si="92"/>
        <v>195</v>
      </c>
      <c r="C205" s="30">
        <f t="shared" si="93"/>
        <v>227.1751863850151</v>
      </c>
      <c r="D205" s="30"/>
      <c r="E205" s="30">
        <f t="shared" si="94"/>
        <v>132.91599266514297</v>
      </c>
      <c r="F205" s="29">
        <f aca="true" t="shared" si="101" ref="F205:F268">IF(G204&gt;0.5,C205-E205+D205,"")</f>
        <v>94.25919371987214</v>
      </c>
      <c r="G205" s="30">
        <f t="shared" si="95"/>
        <v>15855.659926097283</v>
      </c>
      <c r="H205" s="25">
        <f t="shared" si="96"/>
        <v>33.22899816628574</v>
      </c>
      <c r="I205" s="33">
        <f>IF(G204&lt;0.5,"",IF(OR(YEAR(A205)&lt;YEAR(A206),G205&lt;0.5),SUM($H$11:H205)-SUM($I$11:I204),""))</f>
      </c>
      <c r="J205" s="35">
        <f t="shared" si="97"/>
        <v>35154.821271175235</v>
      </c>
      <c r="K205" s="35">
        <f t="shared" si="98"/>
        <v>9144.340073902724</v>
      </c>
      <c r="L205" s="33">
        <f aca="true" t="shared" si="102" ref="L205:L268">IF(G204&gt;0.5,(C205+D205)/(1+$J$4)^B205+L204,"")</f>
        <v>26416.673495770723</v>
      </c>
      <c r="M205" s="33">
        <f t="shared" si="99"/>
        <v>5226.842901065071</v>
      </c>
    </row>
    <row r="206" spans="1:13" ht="12.75">
      <c r="A206" s="7">
        <f t="shared" si="100"/>
        <v>44681</v>
      </c>
      <c r="B206" s="23">
        <f t="shared" si="92"/>
        <v>196</v>
      </c>
      <c r="C206" s="30">
        <f t="shared" si="93"/>
        <v>227.1751863850151</v>
      </c>
      <c r="D206" s="30"/>
      <c r="E206" s="30">
        <f t="shared" si="94"/>
        <v>132.13049938414403</v>
      </c>
      <c r="F206" s="29">
        <f t="shared" si="101"/>
        <v>95.04468700087108</v>
      </c>
      <c r="G206" s="30">
        <f t="shared" si="95"/>
        <v>15760.615239096413</v>
      </c>
      <c r="H206" s="25">
        <f t="shared" si="96"/>
        <v>33.03262484603601</v>
      </c>
      <c r="I206" s="33">
        <f>IF(G205&lt;0.5,"",IF(OR(YEAR(A206)&lt;YEAR(A207),G206&lt;0.5),SUM($H$11:H206)-SUM($I$11:I205),""))</f>
      </c>
      <c r="J206" s="35">
        <f t="shared" si="97"/>
        <v>35286.951770559375</v>
      </c>
      <c r="K206" s="35">
        <f t="shared" si="98"/>
        <v>9239.384760903595</v>
      </c>
      <c r="L206" s="33">
        <f t="shared" si="102"/>
        <v>26489.327604463037</v>
      </c>
      <c r="M206" s="33">
        <f t="shared" si="99"/>
        <v>5226.842901065071</v>
      </c>
    </row>
    <row r="207" spans="1:13" ht="12.75">
      <c r="A207" s="7">
        <f t="shared" si="100"/>
        <v>44712</v>
      </c>
      <c r="B207" s="23">
        <f t="shared" si="92"/>
        <v>197</v>
      </c>
      <c r="C207" s="30">
        <f t="shared" si="93"/>
        <v>227.1751863850151</v>
      </c>
      <c r="D207" s="30"/>
      <c r="E207" s="30">
        <f t="shared" si="94"/>
        <v>131.33846032580342</v>
      </c>
      <c r="F207" s="29">
        <f t="shared" si="101"/>
        <v>95.83672605921168</v>
      </c>
      <c r="G207" s="30">
        <f t="shared" si="95"/>
        <v>15664.778513037201</v>
      </c>
      <c r="H207" s="25">
        <f t="shared" si="96"/>
        <v>32.834615081450856</v>
      </c>
      <c r="I207" s="33">
        <f>IF(G206&lt;0.5,"",IF(OR(YEAR(A207)&lt;YEAR(A208),G207&lt;0.5),SUM($H$11:H207)-SUM($I$11:I206),""))</f>
      </c>
      <c r="J207" s="35">
        <f t="shared" si="97"/>
        <v>35418.29023088518</v>
      </c>
      <c r="K207" s="35">
        <f t="shared" si="98"/>
        <v>9335.221486962806</v>
      </c>
      <c r="L207" s="33">
        <f t="shared" si="102"/>
        <v>26561.56035544131</v>
      </c>
      <c r="M207" s="33">
        <f t="shared" si="99"/>
        <v>5226.842901065071</v>
      </c>
    </row>
    <row r="208" spans="1:13" ht="12.75">
      <c r="A208" s="7">
        <f t="shared" si="100"/>
        <v>44742</v>
      </c>
      <c r="B208" s="23">
        <f t="shared" si="92"/>
        <v>198</v>
      </c>
      <c r="C208" s="30">
        <f t="shared" si="93"/>
        <v>227.1751863850151</v>
      </c>
      <c r="D208" s="30"/>
      <c r="E208" s="30">
        <f t="shared" si="94"/>
        <v>130.53982094197667</v>
      </c>
      <c r="F208" s="29">
        <f t="shared" si="101"/>
        <v>96.63536544303844</v>
      </c>
      <c r="G208" s="30">
        <f t="shared" si="95"/>
        <v>15568.143147594163</v>
      </c>
      <c r="H208" s="25">
        <f t="shared" si="96"/>
        <v>32.63495523549417</v>
      </c>
      <c r="I208" s="33">
        <f>IF(G207&lt;0.5,"",IF(OR(YEAR(A208)&lt;YEAR(A209),G208&lt;0.5),SUM($H$11:H208)-SUM($I$11:I207),""))</f>
      </c>
      <c r="J208" s="35">
        <f t="shared" si="97"/>
        <v>35548.83005182716</v>
      </c>
      <c r="K208" s="35">
        <f t="shared" si="98"/>
        <v>9431.856852405845</v>
      </c>
      <c r="L208" s="33">
        <f t="shared" si="102"/>
        <v>26633.37419237083</v>
      </c>
      <c r="M208" s="33">
        <f t="shared" si="99"/>
        <v>5226.842901065071</v>
      </c>
    </row>
    <row r="209" spans="1:13" ht="12.75">
      <c r="A209" s="7">
        <f t="shared" si="100"/>
        <v>44773</v>
      </c>
      <c r="B209" s="23">
        <f t="shared" si="92"/>
        <v>199</v>
      </c>
      <c r="C209" s="30">
        <f t="shared" si="93"/>
        <v>227.1751863850151</v>
      </c>
      <c r="D209" s="30"/>
      <c r="E209" s="30">
        <f t="shared" si="94"/>
        <v>129.73452622995134</v>
      </c>
      <c r="F209" s="29">
        <f t="shared" si="101"/>
        <v>97.44066015506377</v>
      </c>
      <c r="G209" s="30">
        <f t="shared" si="95"/>
        <v>15470.702487439099</v>
      </c>
      <c r="H209" s="25">
        <f t="shared" si="96"/>
        <v>32.433631557487836</v>
      </c>
      <c r="I209" s="33">
        <f>IF(G208&lt;0.5,"",IF(OR(YEAR(A209)&lt;YEAR(A210),G209&lt;0.5),SUM($H$11:H209)-SUM($I$11:I208),""))</f>
      </c>
      <c r="J209" s="35">
        <f t="shared" si="97"/>
        <v>35678.56457805711</v>
      </c>
      <c r="K209" s="35">
        <f t="shared" si="98"/>
        <v>9529.297512560908</v>
      </c>
      <c r="L209" s="33">
        <f t="shared" si="102"/>
        <v>26704.77154474483</v>
      </c>
      <c r="M209" s="33">
        <f t="shared" si="99"/>
        <v>5226.842901065071</v>
      </c>
    </row>
    <row r="210" spans="1:13" ht="12.75">
      <c r="A210" s="7">
        <f t="shared" si="100"/>
        <v>44804</v>
      </c>
      <c r="B210" s="23">
        <f t="shared" si="92"/>
        <v>200</v>
      </c>
      <c r="C210" s="30">
        <f t="shared" si="93"/>
        <v>227.1751863850151</v>
      </c>
      <c r="D210" s="30"/>
      <c r="E210" s="30">
        <f t="shared" si="94"/>
        <v>128.92252072865915</v>
      </c>
      <c r="F210" s="29">
        <f t="shared" si="101"/>
        <v>98.25266565635596</v>
      </c>
      <c r="G210" s="30">
        <f t="shared" si="95"/>
        <v>15372.449821782742</v>
      </c>
      <c r="H210" s="25">
        <f t="shared" si="96"/>
        <v>32.23063018216479</v>
      </c>
      <c r="I210" s="33">
        <f>IF(G209&lt;0.5,"",IF(OR(YEAR(A210)&lt;YEAR(A211),G210&lt;0.5),SUM($H$11:H210)-SUM($I$11:I209),""))</f>
      </c>
      <c r="J210" s="35">
        <f t="shared" si="97"/>
        <v>35807.487098785765</v>
      </c>
      <c r="K210" s="35">
        <f t="shared" si="98"/>
        <v>9627.550178217265</v>
      </c>
      <c r="L210" s="33">
        <f t="shared" si="102"/>
        <v>26775.754827966706</v>
      </c>
      <c r="M210" s="33">
        <f t="shared" si="99"/>
        <v>5226.842901065071</v>
      </c>
    </row>
    <row r="211" spans="1:13" ht="12.75">
      <c r="A211" s="7">
        <f t="shared" si="100"/>
        <v>44834</v>
      </c>
      <c r="B211" s="23">
        <f t="shared" si="92"/>
        <v>201</v>
      </c>
      <c r="C211" s="30">
        <f t="shared" si="93"/>
        <v>227.1751863850151</v>
      </c>
      <c r="D211" s="30"/>
      <c r="E211" s="30">
        <f t="shared" si="94"/>
        <v>128.1037485148562</v>
      </c>
      <c r="F211" s="29">
        <f t="shared" si="101"/>
        <v>99.07143787015892</v>
      </c>
      <c r="G211" s="30">
        <f t="shared" si="95"/>
        <v>15273.378383912583</v>
      </c>
      <c r="H211" s="25">
        <f t="shared" si="96"/>
        <v>32.02593712871405</v>
      </c>
      <c r="I211" s="33">
        <f>IF(G210&lt;0.5,"",IF(OR(YEAR(A211)&lt;YEAR(A212),G211&lt;0.5),SUM($H$11:H211)-SUM($I$11:I210),""))</f>
      </c>
      <c r="J211" s="35">
        <f t="shared" si="97"/>
        <v>35935.59084730062</v>
      </c>
      <c r="K211" s="35">
        <f t="shared" si="98"/>
        <v>9726.621616087425</v>
      </c>
      <c r="L211" s="33">
        <f t="shared" si="102"/>
        <v>26846.326443431703</v>
      </c>
      <c r="M211" s="33">
        <f t="shared" si="99"/>
        <v>5226.842901065071</v>
      </c>
    </row>
    <row r="212" spans="1:13" ht="12.75">
      <c r="A212" s="7">
        <f t="shared" si="100"/>
        <v>44865</v>
      </c>
      <c r="B212" s="23">
        <f t="shared" si="92"/>
        <v>202</v>
      </c>
      <c r="C212" s="30">
        <f t="shared" si="93"/>
        <v>227.1751863850151</v>
      </c>
      <c r="D212" s="30"/>
      <c r="E212" s="30">
        <f t="shared" si="94"/>
        <v>127.27815319927151</v>
      </c>
      <c r="F212" s="29">
        <f t="shared" si="101"/>
        <v>99.8970331857436</v>
      </c>
      <c r="G212" s="30">
        <f t="shared" si="95"/>
        <v>15173.481350726839</v>
      </c>
      <c r="H212" s="25">
        <f t="shared" si="96"/>
        <v>31.81953829981788</v>
      </c>
      <c r="I212" s="33">
        <f>IF(G211&lt;0.5,"",IF(OR(YEAR(A212)&lt;YEAR(A213),G212&lt;0.5),SUM($H$11:H212)-SUM($I$11:I211),""))</f>
      </c>
      <c r="J212" s="35">
        <f t="shared" si="97"/>
        <v>36062.86900049989</v>
      </c>
      <c r="K212" s="35">
        <f t="shared" si="98"/>
        <v>9826.518649273168</v>
      </c>
      <c r="L212" s="33">
        <f t="shared" si="102"/>
        <v>26916.48877860817</v>
      </c>
      <c r="M212" s="33">
        <f t="shared" si="99"/>
        <v>5226.842901065071</v>
      </c>
    </row>
    <row r="213" spans="1:13" ht="12.75">
      <c r="A213" s="7">
        <f t="shared" si="100"/>
        <v>44895</v>
      </c>
      <c r="B213" s="23">
        <f t="shared" si="92"/>
        <v>203</v>
      </c>
      <c r="C213" s="30">
        <f t="shared" si="93"/>
        <v>227.1751863850151</v>
      </c>
      <c r="D213" s="30"/>
      <c r="E213" s="30">
        <f t="shared" si="94"/>
        <v>126.44567792272366</v>
      </c>
      <c r="F213" s="29">
        <f t="shared" si="101"/>
        <v>100.72950846229145</v>
      </c>
      <c r="G213" s="30">
        <f t="shared" si="95"/>
        <v>15072.751842264548</v>
      </c>
      <c r="H213" s="25">
        <f t="shared" si="96"/>
        <v>31.611419480680915</v>
      </c>
      <c r="I213" s="33">
        <f>IF(G212&lt;0.5,"",IF(OR(YEAR(A213)&lt;YEAR(A214),G213&lt;0.5),SUM($H$11:H213)-SUM($I$11:I212),""))</f>
      </c>
      <c r="J213" s="35">
        <f t="shared" si="97"/>
        <v>36189.31467842262</v>
      </c>
      <c r="K213" s="35">
        <f t="shared" si="98"/>
        <v>9927.24815773546</v>
      </c>
      <c r="L213" s="33">
        <f t="shared" si="102"/>
        <v>26986.24420711833</v>
      </c>
      <c r="M213" s="33">
        <f t="shared" si="99"/>
        <v>5226.842901065071</v>
      </c>
    </row>
    <row r="214" spans="1:13" ht="12.75">
      <c r="A214" s="7">
        <f t="shared" si="100"/>
        <v>44926</v>
      </c>
      <c r="B214" s="23">
        <f t="shared" si="92"/>
        <v>204</v>
      </c>
      <c r="C214" s="30">
        <f t="shared" si="93"/>
        <v>227.1751863850151</v>
      </c>
      <c r="D214" s="30"/>
      <c r="E214" s="30">
        <f t="shared" si="94"/>
        <v>125.60626535220456</v>
      </c>
      <c r="F214" s="29">
        <f t="shared" si="101"/>
        <v>101.56892103281055</v>
      </c>
      <c r="G214" s="30">
        <f t="shared" si="95"/>
        <v>14971.182921231737</v>
      </c>
      <c r="H214" s="25">
        <f t="shared" si="96"/>
        <v>31.40156633805114</v>
      </c>
      <c r="I214" s="33">
        <f>IF(G213&lt;0.5,"",IF(OR(YEAR(A214)&lt;YEAR(A215),G214&lt;0.5),SUM($H$11:H214)-SUM($I$11:I213),""))</f>
        <v>390.29455434205556</v>
      </c>
      <c r="J214" s="35">
        <f t="shared" si="97"/>
        <v>36314.92094377482</v>
      </c>
      <c r="K214" s="35">
        <f t="shared" si="98"/>
        <v>10028.81707876827</v>
      </c>
      <c r="L214" s="33">
        <f t="shared" si="102"/>
        <v>27055.59508881857</v>
      </c>
      <c r="M214" s="33">
        <f t="shared" si="99"/>
        <v>5345.990031071383</v>
      </c>
    </row>
    <row r="215" spans="1:13" ht="12.75">
      <c r="A215" s="7">
        <f t="shared" si="100"/>
        <v>44957</v>
      </c>
      <c r="B215" s="23">
        <f t="shared" si="92"/>
        <v>205</v>
      </c>
      <c r="C215" s="30">
        <f t="shared" si="93"/>
        <v>227.1751863850151</v>
      </c>
      <c r="D215" s="30"/>
      <c r="E215" s="30">
        <f t="shared" si="94"/>
        <v>124.75985767693113</v>
      </c>
      <c r="F215" s="29">
        <f t="shared" si="101"/>
        <v>102.41532870808398</v>
      </c>
      <c r="G215" s="30">
        <f t="shared" si="95"/>
        <v>14868.767592523653</v>
      </c>
      <c r="H215" s="25">
        <f t="shared" si="96"/>
        <v>31.189964419232783</v>
      </c>
      <c r="I215" s="33">
        <f>IF(G214&lt;0.5,"",IF(OR(YEAR(A215)&lt;YEAR(A216),G215&lt;0.5),SUM($H$11:H215)-SUM($I$11:I214),""))</f>
      </c>
      <c r="J215" s="35">
        <f t="shared" si="97"/>
        <v>36439.68080145175</v>
      </c>
      <c r="K215" s="35">
        <f t="shared" si="98"/>
        <v>10131.232407476355</v>
      </c>
      <c r="L215" s="33">
        <f t="shared" si="102"/>
        <v>27124.54376987929</v>
      </c>
      <c r="M215" s="33">
        <f t="shared" si="99"/>
        <v>5345.990031071383</v>
      </c>
    </row>
    <row r="216" spans="1:13" ht="12.75">
      <c r="A216" s="7">
        <f t="shared" si="100"/>
        <v>44985</v>
      </c>
      <c r="B216" s="23">
        <f t="shared" si="92"/>
        <v>206</v>
      </c>
      <c r="C216" s="30">
        <f t="shared" si="93"/>
        <v>227.1751863850151</v>
      </c>
      <c r="D216" s="30"/>
      <c r="E216" s="30">
        <f t="shared" si="94"/>
        <v>123.90639660436376</v>
      </c>
      <c r="F216" s="29">
        <f t="shared" si="101"/>
        <v>103.26878978065135</v>
      </c>
      <c r="G216" s="30">
        <f t="shared" si="95"/>
        <v>14765.498802743</v>
      </c>
      <c r="H216" s="25">
        <f t="shared" si="96"/>
        <v>30.97659915109094</v>
      </c>
      <c r="I216" s="33">
        <f>IF(G215&lt;0.5,"",IF(OR(YEAR(A216)&lt;YEAR(A217),G216&lt;0.5),SUM($H$11:H216)-SUM($I$11:I215),""))</f>
      </c>
      <c r="J216" s="35">
        <f t="shared" si="97"/>
        <v>36563.58719805611</v>
      </c>
      <c r="K216" s="35">
        <f t="shared" si="98"/>
        <v>10234.501197257006</v>
      </c>
      <c r="L216" s="33">
        <f t="shared" si="102"/>
        <v>27193.09258286426</v>
      </c>
      <c r="M216" s="33">
        <f t="shared" si="99"/>
        <v>5345.990031071383</v>
      </c>
    </row>
    <row r="217" spans="1:13" ht="12.75">
      <c r="A217" s="7">
        <f t="shared" si="100"/>
        <v>45016</v>
      </c>
      <c r="B217" s="23">
        <f t="shared" si="92"/>
        <v>207</v>
      </c>
      <c r="C217" s="30">
        <f t="shared" si="93"/>
        <v>227.1751863850151</v>
      </c>
      <c r="D217" s="30"/>
      <c r="E217" s="30">
        <f t="shared" si="94"/>
        <v>123.04582335619168</v>
      </c>
      <c r="F217" s="29">
        <f t="shared" si="101"/>
        <v>104.12936302882343</v>
      </c>
      <c r="G217" s="30">
        <f t="shared" si="95"/>
        <v>14661.369439714177</v>
      </c>
      <c r="H217" s="25">
        <f t="shared" si="96"/>
        <v>30.76145583904792</v>
      </c>
      <c r="I217" s="33">
        <f>IF(G216&lt;0.5,"",IF(OR(YEAR(A217)&lt;YEAR(A218),G217&lt;0.5),SUM($H$11:H217)-SUM($I$11:I216),""))</f>
      </c>
      <c r="J217" s="35">
        <f t="shared" si="97"/>
        <v>36686.63302141231</v>
      </c>
      <c r="K217" s="35">
        <f t="shared" si="98"/>
        <v>10338.63056028583</v>
      </c>
      <c r="L217" s="33">
        <f t="shared" si="102"/>
        <v>27261.243846809553</v>
      </c>
      <c r="M217" s="33">
        <f t="shared" si="99"/>
        <v>5345.990031071383</v>
      </c>
    </row>
    <row r="218" spans="1:13" ht="12.75">
      <c r="A218" s="7">
        <f t="shared" si="100"/>
        <v>45046</v>
      </c>
      <c r="B218" s="23">
        <f t="shared" si="92"/>
        <v>208</v>
      </c>
      <c r="C218" s="30">
        <f t="shared" si="93"/>
        <v>227.1751863850151</v>
      </c>
      <c r="D218" s="30"/>
      <c r="E218" s="30">
        <f t="shared" si="94"/>
        <v>122.17807866428481</v>
      </c>
      <c r="F218" s="29">
        <f t="shared" si="101"/>
        <v>104.9971077207303</v>
      </c>
      <c r="G218" s="30">
        <f t="shared" si="95"/>
        <v>14556.372331993447</v>
      </c>
      <c r="H218" s="25">
        <f t="shared" si="96"/>
        <v>30.544519666071203</v>
      </c>
      <c r="I218" s="33">
        <f>IF(G217&lt;0.5,"",IF(OR(YEAR(A218)&lt;YEAR(A219),G218&lt;0.5),SUM($H$11:H218)-SUM($I$11:I217),""))</f>
      </c>
      <c r="J218" s="35">
        <f t="shared" si="97"/>
        <v>36808.81110007659</v>
      </c>
      <c r="K218" s="35">
        <f t="shared" si="98"/>
        <v>10443.62766800656</v>
      </c>
      <c r="L218" s="33">
        <f t="shared" si="102"/>
        <v>27328.999867301973</v>
      </c>
      <c r="M218" s="33">
        <f t="shared" si="99"/>
        <v>5345.990031071383</v>
      </c>
    </row>
    <row r="219" spans="1:13" ht="12.75">
      <c r="A219" s="7">
        <f t="shared" si="100"/>
        <v>45077</v>
      </c>
      <c r="B219" s="23">
        <f t="shared" si="92"/>
        <v>209</v>
      </c>
      <c r="C219" s="30">
        <f t="shared" si="93"/>
        <v>227.1751863850151</v>
      </c>
      <c r="D219" s="30"/>
      <c r="E219" s="30">
        <f t="shared" si="94"/>
        <v>121.30310276661206</v>
      </c>
      <c r="F219" s="29">
        <f t="shared" si="101"/>
        <v>105.87208361840305</v>
      </c>
      <c r="G219" s="30">
        <f t="shared" si="95"/>
        <v>14450.500248375043</v>
      </c>
      <c r="H219" s="25">
        <f t="shared" si="96"/>
        <v>30.325775691653014</v>
      </c>
      <c r="I219" s="33">
        <f>IF(G218&lt;0.5,"",IF(OR(YEAR(A219)&lt;YEAR(A220),G219&lt;0.5),SUM($H$11:H219)-SUM($I$11:I218),""))</f>
      </c>
      <c r="J219" s="35">
        <f t="shared" si="97"/>
        <v>36930.11420284321</v>
      </c>
      <c r="K219" s="35">
        <f t="shared" si="98"/>
        <v>10549.499751624964</v>
      </c>
      <c r="L219" s="33">
        <f t="shared" si="102"/>
        <v>27396.36293655707</v>
      </c>
      <c r="M219" s="33">
        <f t="shared" si="99"/>
        <v>5345.990031071383</v>
      </c>
    </row>
    <row r="220" spans="1:13" ht="12.75">
      <c r="A220" s="7">
        <f t="shared" si="100"/>
        <v>45107</v>
      </c>
      <c r="B220" s="23">
        <f t="shared" si="92"/>
        <v>210</v>
      </c>
      <c r="C220" s="30">
        <f t="shared" si="93"/>
        <v>227.1751863850151</v>
      </c>
      <c r="D220" s="30"/>
      <c r="E220" s="30">
        <f t="shared" si="94"/>
        <v>120.42083540312535</v>
      </c>
      <c r="F220" s="29">
        <f t="shared" si="101"/>
        <v>106.75435098188976</v>
      </c>
      <c r="G220" s="30">
        <f t="shared" si="95"/>
        <v>14343.745897393153</v>
      </c>
      <c r="H220" s="25">
        <f t="shared" si="96"/>
        <v>30.105208850781338</v>
      </c>
      <c r="I220" s="33">
        <f>IF(G219&lt;0.5,"",IF(OR(YEAR(A220)&lt;YEAR(A221),G220&lt;0.5),SUM($H$11:H220)-SUM($I$11:I219),""))</f>
      </c>
      <c r="J220" s="35">
        <f t="shared" si="97"/>
        <v>37050.53503824634</v>
      </c>
      <c r="K220" s="35">
        <f t="shared" si="98"/>
        <v>10656.254102606854</v>
      </c>
      <c r="L220" s="33">
        <f t="shared" si="102"/>
        <v>27463.33533349669</v>
      </c>
      <c r="M220" s="33">
        <f t="shared" si="99"/>
        <v>5345.990031071383</v>
      </c>
    </row>
    <row r="221" spans="1:13" ht="12.75">
      <c r="A221" s="7">
        <f t="shared" si="100"/>
        <v>45138</v>
      </c>
      <c r="B221" s="23">
        <f t="shared" si="92"/>
        <v>211</v>
      </c>
      <c r="C221" s="30">
        <f t="shared" si="93"/>
        <v>227.1751863850151</v>
      </c>
      <c r="D221" s="30"/>
      <c r="E221" s="30">
        <f t="shared" si="94"/>
        <v>119.53121581160961</v>
      </c>
      <c r="F221" s="29">
        <f t="shared" si="101"/>
        <v>107.6439705734055</v>
      </c>
      <c r="G221" s="30">
        <f t="shared" si="95"/>
        <v>14236.101926819749</v>
      </c>
      <c r="H221" s="25">
        <f t="shared" si="96"/>
        <v>29.882803952902403</v>
      </c>
      <c r="I221" s="33">
        <f>IF(G220&lt;0.5,"",IF(OR(YEAR(A221)&lt;YEAR(A222),G221&lt;0.5),SUM($H$11:H221)-SUM($I$11:I220),""))</f>
      </c>
      <c r="J221" s="35">
        <f t="shared" si="97"/>
        <v>37170.06625405794</v>
      </c>
      <c r="K221" s="35">
        <f t="shared" si="98"/>
        <v>10763.898073180259</v>
      </c>
      <c r="L221" s="33">
        <f t="shared" si="102"/>
        <v>27529.919323826052</v>
      </c>
      <c r="M221" s="33">
        <f t="shared" si="99"/>
        <v>5345.990031071383</v>
      </c>
    </row>
    <row r="222" spans="1:13" ht="12.75">
      <c r="A222" s="7">
        <f t="shared" si="100"/>
        <v>45169</v>
      </c>
      <c r="B222" s="23">
        <f t="shared" si="92"/>
        <v>212</v>
      </c>
      <c r="C222" s="30">
        <f t="shared" si="93"/>
        <v>227.1751863850151</v>
      </c>
      <c r="D222" s="30"/>
      <c r="E222" s="30">
        <f t="shared" si="94"/>
        <v>118.6341827234979</v>
      </c>
      <c r="F222" s="29">
        <f t="shared" si="101"/>
        <v>108.54100366151721</v>
      </c>
      <c r="G222" s="30">
        <f t="shared" si="95"/>
        <v>14127.560923158231</v>
      </c>
      <c r="H222" s="25">
        <f t="shared" si="96"/>
        <v>29.658545680874475</v>
      </c>
      <c r="I222" s="33">
        <f>IF(G221&lt;0.5,"",IF(OR(YEAR(A222)&lt;YEAR(A223),G222&lt;0.5),SUM($H$11:H222)-SUM($I$11:I221),""))</f>
      </c>
      <c r="J222" s="35">
        <f t="shared" si="97"/>
        <v>37288.700436781444</v>
      </c>
      <c r="K222" s="35">
        <f t="shared" si="98"/>
        <v>10872.439076841776</v>
      </c>
      <c r="L222" s="33">
        <f t="shared" si="102"/>
        <v>27596.11716011042</v>
      </c>
      <c r="M222" s="33">
        <f t="shared" si="99"/>
        <v>5345.990031071383</v>
      </c>
    </row>
    <row r="223" spans="1:13" ht="12.75">
      <c r="A223" s="7">
        <f t="shared" si="100"/>
        <v>45199</v>
      </c>
      <c r="B223" s="23">
        <f t="shared" si="92"/>
        <v>213</v>
      </c>
      <c r="C223" s="30">
        <f t="shared" si="93"/>
        <v>227.1751863850151</v>
      </c>
      <c r="D223" s="30"/>
      <c r="E223" s="30">
        <f t="shared" si="94"/>
        <v>117.72967435965192</v>
      </c>
      <c r="F223" s="29">
        <f t="shared" si="101"/>
        <v>109.44551202536319</v>
      </c>
      <c r="G223" s="30">
        <f t="shared" si="95"/>
        <v>14018.115411132869</v>
      </c>
      <c r="H223" s="25">
        <f t="shared" si="96"/>
        <v>29.43241858991298</v>
      </c>
      <c r="I223" s="33">
        <f>IF(G222&lt;0.5,"",IF(OR(YEAR(A223)&lt;YEAR(A224),G223&lt;0.5),SUM($H$11:H223)-SUM($I$11:I222),""))</f>
      </c>
      <c r="J223" s="35">
        <f t="shared" si="97"/>
        <v>37406.4301111411</v>
      </c>
      <c r="K223" s="35">
        <f t="shared" si="98"/>
        <v>10981.884588867139</v>
      </c>
      <c r="L223" s="33">
        <f t="shared" si="102"/>
        <v>27661.931081851304</v>
      </c>
      <c r="M223" s="33">
        <f t="shared" si="99"/>
        <v>5345.990031071383</v>
      </c>
    </row>
    <row r="224" spans="1:13" ht="12.75">
      <c r="A224" s="7">
        <f t="shared" si="100"/>
        <v>45230</v>
      </c>
      <c r="B224" s="23">
        <f t="shared" si="92"/>
        <v>214</v>
      </c>
      <c r="C224" s="30">
        <f t="shared" si="93"/>
        <v>227.1751863850151</v>
      </c>
      <c r="D224" s="30"/>
      <c r="E224" s="30">
        <f t="shared" si="94"/>
        <v>116.81762842610723</v>
      </c>
      <c r="F224" s="29">
        <f t="shared" si="101"/>
        <v>110.35755795890788</v>
      </c>
      <c r="G224" s="30">
        <f t="shared" si="95"/>
        <v>13907.75785317396</v>
      </c>
      <c r="H224" s="25">
        <f t="shared" si="96"/>
        <v>29.20440710652681</v>
      </c>
      <c r="I224" s="33">
        <f>IF(G223&lt;0.5,"",IF(OR(YEAR(A224)&lt;YEAR(A225),G224&lt;0.5),SUM($H$11:H224)-SUM($I$11:I223),""))</f>
      </c>
      <c r="J224" s="35">
        <f t="shared" si="97"/>
        <v>37523.2477395672</v>
      </c>
      <c r="K224" s="35">
        <f t="shared" si="98"/>
        <v>11092.242146826047</v>
      </c>
      <c r="L224" s="33">
        <f t="shared" si="102"/>
        <v>27727.363315562205</v>
      </c>
      <c r="M224" s="33">
        <f t="shared" si="99"/>
        <v>5345.990031071383</v>
      </c>
    </row>
    <row r="225" spans="1:13" ht="12.75">
      <c r="A225" s="7">
        <f t="shared" si="100"/>
        <v>45260</v>
      </c>
      <c r="B225" s="23">
        <f t="shared" si="92"/>
        <v>215</v>
      </c>
      <c r="C225" s="30">
        <f t="shared" si="93"/>
        <v>227.1751863850151</v>
      </c>
      <c r="D225" s="30"/>
      <c r="E225" s="30">
        <f t="shared" si="94"/>
        <v>115.897982109783</v>
      </c>
      <c r="F225" s="29">
        <f t="shared" si="101"/>
        <v>111.27720427523211</v>
      </c>
      <c r="G225" s="30">
        <f t="shared" si="95"/>
        <v>13796.480648898729</v>
      </c>
      <c r="H225" s="25">
        <f t="shared" si="96"/>
        <v>28.97449552744575</v>
      </c>
      <c r="I225" s="33">
        <f>IF(G224&lt;0.5,"",IF(OR(YEAR(A225)&lt;YEAR(A226),G225&lt;0.5),SUM($H$11:H225)-SUM($I$11:I224),""))</f>
      </c>
      <c r="J225" s="35">
        <f t="shared" si="97"/>
        <v>37639.145721676985</v>
      </c>
      <c r="K225" s="35">
        <f t="shared" si="98"/>
        <v>11203.519351101279</v>
      </c>
      <c r="L225" s="33">
        <f t="shared" si="102"/>
        <v>27792.416074843964</v>
      </c>
      <c r="M225" s="33">
        <f t="shared" si="99"/>
        <v>5345.990031071383</v>
      </c>
    </row>
    <row r="226" spans="1:13" ht="12.75">
      <c r="A226" s="7">
        <f t="shared" si="100"/>
        <v>45291</v>
      </c>
      <c r="B226" s="23">
        <f t="shared" si="92"/>
        <v>216</v>
      </c>
      <c r="C226" s="30">
        <f t="shared" si="93"/>
        <v>227.1751863850151</v>
      </c>
      <c r="D226" s="30"/>
      <c r="E226" s="30">
        <f t="shared" si="94"/>
        <v>114.97067207415607</v>
      </c>
      <c r="F226" s="29">
        <f t="shared" si="101"/>
        <v>112.20451431085904</v>
      </c>
      <c r="G226" s="30">
        <f t="shared" si="95"/>
        <v>13684.27613458787</v>
      </c>
      <c r="H226" s="25">
        <f t="shared" si="96"/>
        <v>28.742668018539018</v>
      </c>
      <c r="I226" s="33">
        <f>IF(G225&lt;0.5,"",IF(OR(YEAR(A226)&lt;YEAR(A227),G226&lt;0.5),SUM($H$11:H226)-SUM($I$11:I225),""))</f>
        <v>359.7988624940808</v>
      </c>
      <c r="J226" s="35">
        <f t="shared" si="97"/>
        <v>37754.116393751145</v>
      </c>
      <c r="K226" s="35">
        <f t="shared" si="98"/>
        <v>11315.723865412137</v>
      </c>
      <c r="L226" s="33">
        <f t="shared" si="102"/>
        <v>27857.09156045963</v>
      </c>
      <c r="M226" s="33">
        <f t="shared" si="99"/>
        <v>5448.422724210373</v>
      </c>
    </row>
    <row r="227" spans="1:13" ht="12.75">
      <c r="A227" s="7">
        <f t="shared" si="100"/>
        <v>45322</v>
      </c>
      <c r="B227" s="23">
        <f t="shared" si="92"/>
        <v>217</v>
      </c>
      <c r="C227" s="30">
        <f t="shared" si="93"/>
        <v>227.1751863850151</v>
      </c>
      <c r="D227" s="30"/>
      <c r="E227" s="30">
        <f t="shared" si="94"/>
        <v>114.03563445489891</v>
      </c>
      <c r="F227" s="29">
        <f t="shared" si="101"/>
        <v>113.1395519301162</v>
      </c>
      <c r="G227" s="30">
        <f t="shared" si="95"/>
        <v>13571.136582657753</v>
      </c>
      <c r="H227" s="25">
        <f t="shared" si="96"/>
        <v>28.508908613724728</v>
      </c>
      <c r="I227" s="33">
        <f>IF(G226&lt;0.5,"",IF(OR(YEAR(A227)&lt;YEAR(A228),G227&lt;0.5),SUM($H$11:H227)-SUM($I$11:I226),""))</f>
      </c>
      <c r="J227" s="35">
        <f t="shared" si="97"/>
        <v>37868.152028206045</v>
      </c>
      <c r="K227" s="35">
        <f t="shared" si="98"/>
        <v>11428.863417342254</v>
      </c>
      <c r="L227" s="33">
        <f t="shared" si="102"/>
        <v>27921.391960408928</v>
      </c>
      <c r="M227" s="33">
        <f t="shared" si="99"/>
        <v>5448.422724210373</v>
      </c>
    </row>
    <row r="228" spans="1:13" ht="12.75">
      <c r="A228" s="7">
        <f t="shared" si="100"/>
        <v>45351</v>
      </c>
      <c r="B228" s="23">
        <f t="shared" si="92"/>
        <v>218</v>
      </c>
      <c r="C228" s="30">
        <f t="shared" si="93"/>
        <v>227.1751863850151</v>
      </c>
      <c r="D228" s="30"/>
      <c r="E228" s="30">
        <f t="shared" si="94"/>
        <v>113.09280485548128</v>
      </c>
      <c r="F228" s="29">
        <f t="shared" si="101"/>
        <v>114.08238152953383</v>
      </c>
      <c r="G228" s="30">
        <f t="shared" si="95"/>
        <v>13457.05420112822</v>
      </c>
      <c r="H228" s="25">
        <f t="shared" si="96"/>
        <v>28.27320121387032</v>
      </c>
      <c r="I228" s="33">
        <f>IF(G227&lt;0.5,"",IF(OR(YEAR(A228)&lt;YEAR(A229),G228&lt;0.5),SUM($H$11:H228)-SUM($I$11:I227),""))</f>
      </c>
      <c r="J228" s="35">
        <f t="shared" si="97"/>
        <v>37981.24483306152</v>
      </c>
      <c r="K228" s="35">
        <f t="shared" si="98"/>
        <v>11542.945798871788</v>
      </c>
      <c r="L228" s="33">
        <f t="shared" si="102"/>
        <v>27985.319450002262</v>
      </c>
      <c r="M228" s="33">
        <f t="shared" si="99"/>
        <v>5448.422724210373</v>
      </c>
    </row>
    <row r="229" spans="1:13" ht="12.75">
      <c r="A229" s="7">
        <f t="shared" si="100"/>
        <v>45382</v>
      </c>
      <c r="B229" s="23">
        <f t="shared" si="92"/>
        <v>219</v>
      </c>
      <c r="C229" s="30">
        <f t="shared" si="93"/>
        <v>227.1751863850151</v>
      </c>
      <c r="D229" s="30"/>
      <c r="E229" s="30">
        <f t="shared" si="94"/>
        <v>112.14211834273516</v>
      </c>
      <c r="F229" s="29">
        <f t="shared" si="101"/>
        <v>115.03306804227995</v>
      </c>
      <c r="G229" s="30">
        <f t="shared" si="95"/>
        <v>13342.02113308594</v>
      </c>
      <c r="H229" s="25">
        <f t="shared" si="96"/>
        <v>28.03552958568379</v>
      </c>
      <c r="I229" s="33">
        <f>IF(G228&lt;0.5,"",IF(OR(YEAR(A229)&lt;YEAR(A230),G229&lt;0.5),SUM($H$11:H229)-SUM($I$11:I228),""))</f>
      </c>
      <c r="J229" s="35">
        <f t="shared" si="97"/>
        <v>38093.38695140426</v>
      </c>
      <c r="K229" s="35">
        <f t="shared" si="98"/>
        <v>11657.978866914067</v>
      </c>
      <c r="L229" s="33">
        <f t="shared" si="102"/>
        <v>28048.876191934327</v>
      </c>
      <c r="M229" s="33">
        <f t="shared" si="99"/>
        <v>5448.422724210373</v>
      </c>
    </row>
    <row r="230" spans="1:13" ht="12.75">
      <c r="A230" s="7">
        <f t="shared" si="100"/>
        <v>45412</v>
      </c>
      <c r="B230" s="23">
        <f t="shared" si="92"/>
        <v>220</v>
      </c>
      <c r="C230" s="30">
        <f t="shared" si="93"/>
        <v>227.1751863850151</v>
      </c>
      <c r="D230" s="30"/>
      <c r="E230" s="30">
        <f t="shared" si="94"/>
        <v>111.18350944238283</v>
      </c>
      <c r="F230" s="29">
        <f t="shared" si="101"/>
        <v>115.99167694263228</v>
      </c>
      <c r="G230" s="30">
        <f t="shared" si="95"/>
        <v>13226.029456143307</v>
      </c>
      <c r="H230" s="25">
        <f t="shared" si="96"/>
        <v>27.795877360595707</v>
      </c>
      <c r="I230" s="33">
        <f>IF(G229&lt;0.5,"",IF(OR(YEAR(A230)&lt;YEAR(A231),G230&lt;0.5),SUM($H$11:H230)-SUM($I$11:I229),""))</f>
      </c>
      <c r="J230" s="35">
        <f t="shared" si="97"/>
        <v>38204.57046084664</v>
      </c>
      <c r="K230" s="35">
        <f t="shared" si="98"/>
        <v>11773.9705438567</v>
      </c>
      <c r="L230" s="33">
        <f t="shared" si="102"/>
        <v>28112.064336357256</v>
      </c>
      <c r="M230" s="33">
        <f t="shared" si="99"/>
        <v>5448.422724210373</v>
      </c>
    </row>
    <row r="231" spans="1:13" ht="12.75">
      <c r="A231" s="7">
        <f t="shared" si="100"/>
        <v>45443</v>
      </c>
      <c r="B231" s="23">
        <f t="shared" si="92"/>
        <v>221</v>
      </c>
      <c r="C231" s="30">
        <f t="shared" si="93"/>
        <v>227.1751863850151</v>
      </c>
      <c r="D231" s="30"/>
      <c r="E231" s="30">
        <f t="shared" si="94"/>
        <v>110.21691213452756</v>
      </c>
      <c r="F231" s="29">
        <f t="shared" si="101"/>
        <v>116.95827425048755</v>
      </c>
      <c r="G231" s="30">
        <f t="shared" si="95"/>
        <v>13109.07118189282</v>
      </c>
      <c r="H231" s="25">
        <f t="shared" si="96"/>
        <v>27.55422803363189</v>
      </c>
      <c r="I231" s="33">
        <f>IF(G230&lt;0.5,"",IF(OR(YEAR(A231)&lt;YEAR(A232),G231&lt;0.5),SUM($H$11:H231)-SUM($I$11:I230),""))</f>
      </c>
      <c r="J231" s="35">
        <f t="shared" si="97"/>
        <v>38314.78737298117</v>
      </c>
      <c r="K231" s="35">
        <f t="shared" si="98"/>
        <v>11890.928818107188</v>
      </c>
      <c r="L231" s="33">
        <f t="shared" si="102"/>
        <v>28174.886020953378</v>
      </c>
      <c r="M231" s="33">
        <f t="shared" si="99"/>
        <v>5448.422724210373</v>
      </c>
    </row>
    <row r="232" spans="1:13" ht="12.75">
      <c r="A232" s="7">
        <f t="shared" si="100"/>
        <v>45473</v>
      </c>
      <c r="B232" s="23">
        <f t="shared" si="92"/>
        <v>222</v>
      </c>
      <c r="C232" s="30">
        <f t="shared" si="93"/>
        <v>227.1751863850151</v>
      </c>
      <c r="D232" s="30"/>
      <c r="E232" s="30">
        <f t="shared" si="94"/>
        <v>109.24225984910683</v>
      </c>
      <c r="F232" s="29">
        <f t="shared" si="101"/>
        <v>117.93292653590828</v>
      </c>
      <c r="G232" s="30">
        <f t="shared" si="95"/>
        <v>12991.138255356911</v>
      </c>
      <c r="H232" s="25">
        <f t="shared" si="96"/>
        <v>27.310564962276707</v>
      </c>
      <c r="I232" s="33">
        <f>IF(G231&lt;0.5,"",IF(OR(YEAR(A232)&lt;YEAR(A233),G232&lt;0.5),SUM($H$11:H232)-SUM($I$11:I231),""))</f>
      </c>
      <c r="J232" s="35">
        <f t="shared" si="97"/>
        <v>38424.02963283028</v>
      </c>
      <c r="K232" s="35">
        <f t="shared" si="98"/>
        <v>12008.861744643096</v>
      </c>
      <c r="L232" s="33">
        <f t="shared" si="102"/>
        <v>28237.343371007515</v>
      </c>
      <c r="M232" s="33">
        <f t="shared" si="99"/>
        <v>5448.422724210373</v>
      </c>
    </row>
    <row r="233" spans="1:13" ht="12.75">
      <c r="A233" s="7">
        <f t="shared" si="100"/>
        <v>45504</v>
      </c>
      <c r="B233" s="23">
        <f t="shared" si="92"/>
        <v>223</v>
      </c>
      <c r="C233" s="30">
        <f t="shared" si="93"/>
        <v>227.1751863850151</v>
      </c>
      <c r="D233" s="30"/>
      <c r="E233" s="30">
        <f t="shared" si="94"/>
        <v>108.25948546130759</v>
      </c>
      <c r="F233" s="29">
        <f t="shared" si="101"/>
        <v>118.91570092370752</v>
      </c>
      <c r="G233" s="30">
        <f t="shared" si="95"/>
        <v>12872.222554433203</v>
      </c>
      <c r="H233" s="25">
        <f t="shared" si="96"/>
        <v>27.064871365326898</v>
      </c>
      <c r="I233" s="33">
        <f>IF(G232&lt;0.5,"",IF(OR(YEAR(A233)&lt;YEAR(A234),G233&lt;0.5),SUM($H$11:H233)-SUM($I$11:I232),""))</f>
      </c>
      <c r="J233" s="35">
        <f t="shared" si="97"/>
        <v>38532.289118291585</v>
      </c>
      <c r="K233" s="35">
        <f t="shared" si="98"/>
        <v>12127.777445566804</v>
      </c>
      <c r="L233" s="33">
        <f t="shared" si="102"/>
        <v>28299.438499478903</v>
      </c>
      <c r="M233" s="33">
        <f t="shared" si="99"/>
        <v>5448.422724210373</v>
      </c>
    </row>
    <row r="234" spans="1:13" ht="12.75">
      <c r="A234" s="7">
        <f t="shared" si="100"/>
        <v>45535</v>
      </c>
      <c r="B234" s="23">
        <f t="shared" si="92"/>
        <v>224</v>
      </c>
      <c r="C234" s="30">
        <f t="shared" si="93"/>
        <v>227.1751863850151</v>
      </c>
      <c r="D234" s="30"/>
      <c r="E234" s="30">
        <f t="shared" si="94"/>
        <v>107.26852128694335</v>
      </c>
      <c r="F234" s="29">
        <f t="shared" si="101"/>
        <v>119.90666509807176</v>
      </c>
      <c r="G234" s="30">
        <f t="shared" si="95"/>
        <v>12752.315889335132</v>
      </c>
      <c r="H234" s="25">
        <f t="shared" si="96"/>
        <v>26.81713032173584</v>
      </c>
      <c r="I234" s="33">
        <f>IF(G233&lt;0.5,"",IF(OR(YEAR(A234)&lt;YEAR(A235),G234&lt;0.5),SUM($H$11:H234)-SUM($I$11:I233),""))</f>
      </c>
      <c r="J234" s="35">
        <f t="shared" si="97"/>
        <v>38639.557639578525</v>
      </c>
      <c r="K234" s="35">
        <f t="shared" si="98"/>
        <v>12247.684110664875</v>
      </c>
      <c r="L234" s="33">
        <f t="shared" si="102"/>
        <v>28361.17350707266</v>
      </c>
      <c r="M234" s="33">
        <f t="shared" si="99"/>
        <v>5448.422724210373</v>
      </c>
    </row>
    <row r="235" spans="1:13" ht="12.75">
      <c r="A235" s="7">
        <f t="shared" si="100"/>
        <v>45565</v>
      </c>
      <c r="B235" s="23">
        <f t="shared" si="92"/>
        <v>225</v>
      </c>
      <c r="C235" s="30">
        <f t="shared" si="93"/>
        <v>227.1751863850151</v>
      </c>
      <c r="D235" s="30"/>
      <c r="E235" s="30">
        <f t="shared" si="94"/>
        <v>106.26929907779277</v>
      </c>
      <c r="F235" s="29">
        <f t="shared" si="101"/>
        <v>120.90588730722234</v>
      </c>
      <c r="G235" s="30">
        <f t="shared" si="95"/>
        <v>12631.41000202791</v>
      </c>
      <c r="H235" s="25">
        <f t="shared" si="96"/>
        <v>26.56732476944819</v>
      </c>
      <c r="I235" s="33">
        <f>IF(G234&lt;0.5,"",IF(OR(YEAR(A235)&lt;YEAR(A236),G235&lt;0.5),SUM($H$11:H235)-SUM($I$11:I234),""))</f>
      </c>
      <c r="J235" s="35">
        <f t="shared" si="97"/>
        <v>38745.82693865632</v>
      </c>
      <c r="K235" s="35">
        <f t="shared" si="98"/>
        <v>12368.589997972098</v>
      </c>
      <c r="L235" s="33">
        <f t="shared" si="102"/>
        <v>28422.55048231086</v>
      </c>
      <c r="M235" s="33">
        <f t="shared" si="99"/>
        <v>5448.422724210373</v>
      </c>
    </row>
    <row r="236" spans="1:13" ht="12.75">
      <c r="A236" s="7">
        <f t="shared" si="100"/>
        <v>45596</v>
      </c>
      <c r="B236" s="23">
        <f t="shared" si="92"/>
        <v>226</v>
      </c>
      <c r="C236" s="30">
        <f t="shared" si="93"/>
        <v>227.1751863850151</v>
      </c>
      <c r="D236" s="30"/>
      <c r="E236" s="30">
        <f t="shared" si="94"/>
        <v>105.26175001689924</v>
      </c>
      <c r="F236" s="29">
        <f t="shared" si="101"/>
        <v>121.91343636811587</v>
      </c>
      <c r="G236" s="30">
        <f t="shared" si="95"/>
        <v>12509.496565659794</v>
      </c>
      <c r="H236" s="25">
        <f t="shared" si="96"/>
        <v>26.31543750422481</v>
      </c>
      <c r="I236" s="33">
        <f>IF(G235&lt;0.5,"",IF(OR(YEAR(A236)&lt;YEAR(A237),G236&lt;0.5),SUM($H$11:H236)-SUM($I$11:I235),""))</f>
      </c>
      <c r="J236" s="35">
        <f t="shared" si="97"/>
        <v>38851.08868867322</v>
      </c>
      <c r="K236" s="35">
        <f t="shared" si="98"/>
        <v>12490.503434340213</v>
      </c>
      <c r="L236" s="33">
        <f t="shared" si="102"/>
        <v>28483.57150160319</v>
      </c>
      <c r="M236" s="33">
        <f t="shared" si="99"/>
        <v>5448.422724210373</v>
      </c>
    </row>
    <row r="237" spans="1:13" ht="12.75">
      <c r="A237" s="7">
        <f t="shared" si="100"/>
        <v>45626</v>
      </c>
      <c r="B237" s="23">
        <f t="shared" si="92"/>
        <v>227</v>
      </c>
      <c r="C237" s="30">
        <f t="shared" si="93"/>
        <v>227.1751863850151</v>
      </c>
      <c r="D237" s="30"/>
      <c r="E237" s="30">
        <f t="shared" si="94"/>
        <v>104.24580471383162</v>
      </c>
      <c r="F237" s="29">
        <f t="shared" si="101"/>
        <v>122.92938167118349</v>
      </c>
      <c r="G237" s="30">
        <f t="shared" si="95"/>
        <v>12386.56718398861</v>
      </c>
      <c r="H237" s="25">
        <f t="shared" si="96"/>
        <v>26.061451178457904</v>
      </c>
      <c r="I237" s="33">
        <f>IF(G236&lt;0.5,"",IF(OR(YEAR(A237)&lt;YEAR(A238),G237&lt;0.5),SUM($H$11:H237)-SUM($I$11:I236),""))</f>
      </c>
      <c r="J237" s="35">
        <f t="shared" si="97"/>
        <v>38955.334493387054</v>
      </c>
      <c r="K237" s="35">
        <f t="shared" si="98"/>
        <v>12613.432816011396</v>
      </c>
      <c r="L237" s="33">
        <f t="shared" si="102"/>
        <v>28544.238629317188</v>
      </c>
      <c r="M237" s="33">
        <f t="shared" si="99"/>
        <v>5448.422724210373</v>
      </c>
    </row>
    <row r="238" spans="1:13" ht="12.75">
      <c r="A238" s="7">
        <f t="shared" si="100"/>
        <v>45657</v>
      </c>
      <c r="B238" s="23">
        <f t="shared" si="92"/>
        <v>228</v>
      </c>
      <c r="C238" s="30">
        <f t="shared" si="93"/>
        <v>227.1751863850151</v>
      </c>
      <c r="D238" s="30"/>
      <c r="E238" s="30">
        <f t="shared" si="94"/>
        <v>103.2213931999051</v>
      </c>
      <c r="F238" s="29">
        <f t="shared" si="101"/>
        <v>123.95379318511002</v>
      </c>
      <c r="G238" s="30">
        <f t="shared" si="95"/>
        <v>12262.6133908035</v>
      </c>
      <c r="H238" s="25">
        <f t="shared" si="96"/>
        <v>25.805348299976274</v>
      </c>
      <c r="I238" s="33">
        <f>IF(G237&lt;0.5,"",IF(OR(YEAR(A238)&lt;YEAR(A239),G238&lt;0.5),SUM($H$11:H238)-SUM($I$11:I237),""))</f>
        <v>326.109873208954</v>
      </c>
      <c r="J238" s="35">
        <f t="shared" si="97"/>
        <v>39058.55588658696</v>
      </c>
      <c r="K238" s="35">
        <f t="shared" si="98"/>
        <v>12737.386609196506</v>
      </c>
      <c r="L238" s="33">
        <f t="shared" si="102"/>
        <v>28604.553917848087</v>
      </c>
      <c r="M238" s="33">
        <f t="shared" si="99"/>
        <v>5535.005292528544</v>
      </c>
    </row>
    <row r="239" spans="1:13" ht="12.75">
      <c r="A239" s="7">
        <f t="shared" si="100"/>
        <v>45688</v>
      </c>
      <c r="B239" s="23">
        <f t="shared" si="92"/>
        <v>229</v>
      </c>
      <c r="C239" s="30">
        <f t="shared" si="93"/>
        <v>227.1751863850151</v>
      </c>
      <c r="D239" s="30"/>
      <c r="E239" s="30">
        <f t="shared" si="94"/>
        <v>102.18844492336251</v>
      </c>
      <c r="F239" s="29">
        <f t="shared" si="101"/>
        <v>124.9867414616526</v>
      </c>
      <c r="G239" s="30">
        <f t="shared" si="95"/>
        <v>12137.626649341848</v>
      </c>
      <c r="H239" s="25">
        <f t="shared" si="96"/>
        <v>25.547111230840628</v>
      </c>
      <c r="I239" s="33">
        <f>IF(G238&lt;0.5,"",IF(OR(YEAR(A239)&lt;YEAR(A240),G239&lt;0.5),SUM($H$11:H239)-SUM($I$11:I238),""))</f>
      </c>
      <c r="J239" s="35">
        <f t="shared" si="97"/>
        <v>39160.74433151032</v>
      </c>
      <c r="K239" s="35">
        <f t="shared" si="98"/>
        <v>12862.37335065816</v>
      </c>
      <c r="L239" s="33">
        <f t="shared" si="102"/>
        <v>28664.519407688254</v>
      </c>
      <c r="M239" s="33">
        <f t="shared" si="99"/>
        <v>5535.005292528544</v>
      </c>
    </row>
    <row r="240" spans="1:13" ht="12.75">
      <c r="A240" s="7">
        <f t="shared" si="100"/>
        <v>45716</v>
      </c>
      <c r="B240" s="23">
        <f t="shared" si="92"/>
        <v>230</v>
      </c>
      <c r="C240" s="30">
        <f t="shared" si="93"/>
        <v>227.1751863850151</v>
      </c>
      <c r="D240" s="30"/>
      <c r="E240" s="30">
        <f t="shared" si="94"/>
        <v>101.1468887445154</v>
      </c>
      <c r="F240" s="29">
        <f t="shared" si="101"/>
        <v>126.02829764049972</v>
      </c>
      <c r="G240" s="30">
        <f t="shared" si="95"/>
        <v>12011.598351701348</v>
      </c>
      <c r="H240" s="25">
        <f t="shared" si="96"/>
        <v>25.28672218612885</v>
      </c>
      <c r="I240" s="33">
        <f>IF(G239&lt;0.5,"",IF(OR(YEAR(A240)&lt;YEAR(A241),G240&lt;0.5),SUM($H$11:H240)-SUM($I$11:I239),""))</f>
      </c>
      <c r="J240" s="35">
        <f t="shared" si="97"/>
        <v>39261.89122025484</v>
      </c>
      <c r="K240" s="35">
        <f t="shared" si="98"/>
        <v>12988.401648298659</v>
      </c>
      <c r="L240" s="33">
        <f t="shared" si="102"/>
        <v>28724.137127496208</v>
      </c>
      <c r="M240" s="33">
        <f t="shared" si="99"/>
        <v>5535.005292528544</v>
      </c>
    </row>
    <row r="241" spans="1:13" ht="12.75">
      <c r="A241" s="7">
        <f t="shared" si="100"/>
        <v>45747</v>
      </c>
      <c r="B241" s="23">
        <f t="shared" si="92"/>
        <v>231</v>
      </c>
      <c r="C241" s="30">
        <f t="shared" si="93"/>
        <v>227.1751863850151</v>
      </c>
      <c r="D241" s="30"/>
      <c r="E241" s="30">
        <f t="shared" si="94"/>
        <v>100.09665293084457</v>
      </c>
      <c r="F241" s="29">
        <f t="shared" si="101"/>
        <v>127.07853345417054</v>
      </c>
      <c r="G241" s="30">
        <f t="shared" si="95"/>
        <v>11884.519818247178</v>
      </c>
      <c r="H241" s="25">
        <f t="shared" si="96"/>
        <v>25.024163232711143</v>
      </c>
      <c r="I241" s="33">
        <f>IF(G240&lt;0.5,"",IF(OR(YEAR(A241)&lt;YEAR(A242),G241&lt;0.5),SUM($H$11:H241)-SUM($I$11:I240),""))</f>
      </c>
      <c r="J241" s="35">
        <f t="shared" si="97"/>
        <v>39361.98787318568</v>
      </c>
      <c r="K241" s="35">
        <f t="shared" si="98"/>
        <v>13115.48018175283</v>
      </c>
      <c r="L241" s="33">
        <f t="shared" si="102"/>
        <v>28783.409094165258</v>
      </c>
      <c r="M241" s="33">
        <f t="shared" si="99"/>
        <v>5535.005292528544</v>
      </c>
    </row>
    <row r="242" spans="1:13" ht="12.75">
      <c r="A242" s="7">
        <f t="shared" si="100"/>
        <v>45777</v>
      </c>
      <c r="B242" s="23">
        <f t="shared" si="92"/>
        <v>232</v>
      </c>
      <c r="C242" s="30">
        <f t="shared" si="93"/>
        <v>227.1751863850151</v>
      </c>
      <c r="D242" s="30"/>
      <c r="E242" s="30">
        <f t="shared" si="94"/>
        <v>99.03766515205982</v>
      </c>
      <c r="F242" s="29">
        <f t="shared" si="101"/>
        <v>128.1375212329553</v>
      </c>
      <c r="G242" s="30">
        <f t="shared" si="95"/>
        <v>11756.382297014223</v>
      </c>
      <c r="H242" s="25">
        <f t="shared" si="96"/>
        <v>24.759416288014954</v>
      </c>
      <c r="I242" s="33">
        <f>IF(G241&lt;0.5,"",IF(OR(YEAR(A242)&lt;YEAR(A243),G242&lt;0.5),SUM($H$11:H242)-SUM($I$11:I241),""))</f>
      </c>
      <c r="J242" s="35">
        <f t="shared" si="97"/>
        <v>39461.02553833774</v>
      </c>
      <c r="K242" s="35">
        <f t="shared" si="98"/>
        <v>13243.617702985784</v>
      </c>
      <c r="L242" s="33">
        <f t="shared" si="102"/>
        <v>28842.337312891737</v>
      </c>
      <c r="M242" s="33">
        <f t="shared" si="99"/>
        <v>5535.005292528544</v>
      </c>
    </row>
    <row r="243" spans="1:13" ht="12.75">
      <c r="A243" s="7">
        <f t="shared" si="100"/>
        <v>45808</v>
      </c>
      <c r="B243" s="23">
        <f t="shared" si="92"/>
        <v>233</v>
      </c>
      <c r="C243" s="30">
        <f t="shared" si="93"/>
        <v>227.1751863850151</v>
      </c>
      <c r="D243" s="30"/>
      <c r="E243" s="30">
        <f t="shared" si="94"/>
        <v>97.96985247511853</v>
      </c>
      <c r="F243" s="29">
        <f t="shared" si="101"/>
        <v>129.20533390989658</v>
      </c>
      <c r="G243" s="30">
        <f t="shared" si="95"/>
        <v>11627.176963104326</v>
      </c>
      <c r="H243" s="25">
        <f t="shared" si="96"/>
        <v>24.492463118779632</v>
      </c>
      <c r="I243" s="33">
        <f>IF(G242&lt;0.5,"",IF(OR(YEAR(A243)&lt;YEAR(A244),G243&lt;0.5),SUM($H$11:H243)-SUM($I$11:I242),""))</f>
      </c>
      <c r="J243" s="35">
        <f t="shared" si="97"/>
        <v>39558.99539081286</v>
      </c>
      <c r="K243" s="35">
        <f t="shared" si="98"/>
        <v>13372.823036895681</v>
      </c>
      <c r="L243" s="33">
        <f t="shared" si="102"/>
        <v>28900.923777242835</v>
      </c>
      <c r="M243" s="33">
        <f t="shared" si="99"/>
        <v>5535.005292528544</v>
      </c>
    </row>
    <row r="244" spans="1:13" ht="12.75">
      <c r="A244" s="7">
        <f t="shared" si="100"/>
        <v>45838</v>
      </c>
      <c r="B244" s="23">
        <f t="shared" si="92"/>
        <v>234</v>
      </c>
      <c r="C244" s="30">
        <f t="shared" si="93"/>
        <v>227.1751863850151</v>
      </c>
      <c r="D244" s="30"/>
      <c r="E244" s="30">
        <f t="shared" si="94"/>
        <v>96.89314135920272</v>
      </c>
      <c r="F244" s="29">
        <f t="shared" si="101"/>
        <v>130.2820450258124</v>
      </c>
      <c r="G244" s="30">
        <f t="shared" si="95"/>
        <v>11496.894918078513</v>
      </c>
      <c r="H244" s="25">
        <f t="shared" si="96"/>
        <v>24.22328533980068</v>
      </c>
      <c r="I244" s="33">
        <f>IF(G243&lt;0.5,"",IF(OR(YEAR(A244)&lt;YEAR(A245),G244&lt;0.5),SUM($H$11:H244)-SUM($I$11:I243),""))</f>
      </c>
      <c r="J244" s="35">
        <f t="shared" si="97"/>
        <v>39655.88853217206</v>
      </c>
      <c r="K244" s="35">
        <f t="shared" si="98"/>
        <v>13503.105081921494</v>
      </c>
      <c r="L244" s="33">
        <f t="shared" si="102"/>
        <v>28959.170469224042</v>
      </c>
      <c r="M244" s="33">
        <f t="shared" si="99"/>
        <v>5535.005292528544</v>
      </c>
    </row>
    <row r="245" spans="1:13" ht="12.75">
      <c r="A245" s="7">
        <f t="shared" si="100"/>
        <v>45869</v>
      </c>
      <c r="B245" s="23">
        <f t="shared" si="92"/>
        <v>235</v>
      </c>
      <c r="C245" s="30">
        <f t="shared" si="93"/>
        <v>227.1751863850151</v>
      </c>
      <c r="D245" s="30"/>
      <c r="E245" s="30">
        <f t="shared" si="94"/>
        <v>95.80745765065427</v>
      </c>
      <c r="F245" s="29">
        <f t="shared" si="101"/>
        <v>131.36772873436084</v>
      </c>
      <c r="G245" s="30">
        <f t="shared" si="95"/>
        <v>11365.527189344151</v>
      </c>
      <c r="H245" s="25">
        <f t="shared" si="96"/>
        <v>23.951864412663568</v>
      </c>
      <c r="I245" s="33">
        <f>IF(G244&lt;0.5,"",IF(OR(YEAR(A245)&lt;YEAR(A246),G245&lt;0.5),SUM($H$11:H245)-SUM($I$11:I244),""))</f>
      </c>
      <c r="J245" s="35">
        <f t="shared" si="97"/>
        <v>39751.695989822714</v>
      </c>
      <c r="K245" s="35">
        <f t="shared" si="98"/>
        <v>13634.472810655856</v>
      </c>
      <c r="L245" s="33">
        <f t="shared" si="102"/>
        <v>29017.079359346204</v>
      </c>
      <c r="M245" s="33">
        <f t="shared" si="99"/>
        <v>5535.005292528544</v>
      </c>
    </row>
    <row r="246" spans="1:13" ht="12.75">
      <c r="A246" s="7">
        <f t="shared" si="100"/>
        <v>45900</v>
      </c>
      <c r="B246" s="23">
        <f t="shared" si="92"/>
        <v>236</v>
      </c>
      <c r="C246" s="30">
        <f t="shared" si="93"/>
        <v>227.1751863850151</v>
      </c>
      <c r="D246" s="30"/>
      <c r="E246" s="30">
        <f t="shared" si="94"/>
        <v>94.71272657786793</v>
      </c>
      <c r="F246" s="29">
        <f t="shared" si="101"/>
        <v>132.46245980714718</v>
      </c>
      <c r="G246" s="30">
        <f t="shared" si="95"/>
        <v>11233.064729537004</v>
      </c>
      <c r="H246" s="25">
        <f t="shared" si="96"/>
        <v>23.67818164446698</v>
      </c>
      <c r="I246" s="33">
        <f>IF(G245&lt;0.5,"",IF(OR(YEAR(A246)&lt;YEAR(A247),G246&lt;0.5),SUM($H$11:H246)-SUM($I$11:I245),""))</f>
      </c>
      <c r="J246" s="35">
        <f t="shared" si="97"/>
        <v>39846.40871640058</v>
      </c>
      <c r="K246" s="35">
        <f t="shared" si="98"/>
        <v>13766.935270463004</v>
      </c>
      <c r="L246" s="33">
        <f t="shared" si="102"/>
        <v>29074.65240669218</v>
      </c>
      <c r="M246" s="33">
        <f t="shared" si="99"/>
        <v>5535.005292528544</v>
      </c>
    </row>
    <row r="247" spans="1:13" ht="12.75">
      <c r="A247" s="7">
        <f t="shared" si="100"/>
        <v>45930</v>
      </c>
      <c r="B247" s="23">
        <f t="shared" si="92"/>
        <v>237</v>
      </c>
      <c r="C247" s="30">
        <f t="shared" si="93"/>
        <v>227.1751863850151</v>
      </c>
      <c r="D247" s="30"/>
      <c r="E247" s="30">
        <f t="shared" si="94"/>
        <v>93.6088727461417</v>
      </c>
      <c r="F247" s="29">
        <f t="shared" si="101"/>
        <v>133.5663136388734</v>
      </c>
      <c r="G247" s="30">
        <f t="shared" si="95"/>
        <v>11099.49841589813</v>
      </c>
      <c r="H247" s="25">
        <f t="shared" si="96"/>
        <v>23.402218186535425</v>
      </c>
      <c r="I247" s="33">
        <f>IF(G246&lt;0.5,"",IF(OR(YEAR(A247)&lt;YEAR(A248),G247&lt;0.5),SUM($H$11:H247)-SUM($I$11:I246),""))</f>
      </c>
      <c r="J247" s="35">
        <f t="shared" si="97"/>
        <v>39940.01758914672</v>
      </c>
      <c r="K247" s="35">
        <f t="shared" si="98"/>
        <v>13900.501584101878</v>
      </c>
      <c r="L247" s="33">
        <f t="shared" si="102"/>
        <v>29131.891558983127</v>
      </c>
      <c r="M247" s="33">
        <f t="shared" si="99"/>
        <v>5535.005292528544</v>
      </c>
    </row>
    <row r="248" spans="1:13" ht="12.75">
      <c r="A248" s="7">
        <f t="shared" si="100"/>
        <v>45961</v>
      </c>
      <c r="B248" s="23">
        <f t="shared" si="92"/>
        <v>238</v>
      </c>
      <c r="C248" s="30">
        <f t="shared" si="93"/>
        <v>227.1751863850151</v>
      </c>
      <c r="D248" s="30"/>
      <c r="E248" s="30">
        <f t="shared" si="94"/>
        <v>92.49582013248441</v>
      </c>
      <c r="F248" s="29">
        <f t="shared" si="101"/>
        <v>134.6793662525307</v>
      </c>
      <c r="G248" s="30">
        <f t="shared" si="95"/>
        <v>10964.819049645599</v>
      </c>
      <c r="H248" s="25">
        <f t="shared" si="96"/>
        <v>23.123955033121103</v>
      </c>
      <c r="I248" s="33">
        <f>IF(G247&lt;0.5,"",IF(OR(YEAR(A248)&lt;YEAR(A249),G248&lt;0.5),SUM($H$11:H248)-SUM($I$11:I247),""))</f>
      </c>
      <c r="J248" s="35">
        <f t="shared" si="97"/>
        <v>40032.51340927921</v>
      </c>
      <c r="K248" s="35">
        <f t="shared" si="98"/>
        <v>14035.180950354408</v>
      </c>
      <c r="L248" s="33">
        <f t="shared" si="102"/>
        <v>29188.798752644383</v>
      </c>
      <c r="M248" s="33">
        <f t="shared" si="99"/>
        <v>5535.005292528544</v>
      </c>
    </row>
    <row r="249" spans="1:13" ht="12.75">
      <c r="A249" s="7">
        <f t="shared" si="100"/>
        <v>45991</v>
      </c>
      <c r="B249" s="23">
        <f t="shared" si="92"/>
        <v>239</v>
      </c>
      <c r="C249" s="30">
        <f t="shared" si="93"/>
        <v>227.1751863850151</v>
      </c>
      <c r="D249" s="30"/>
      <c r="E249" s="30">
        <f t="shared" si="94"/>
        <v>91.37349208037999</v>
      </c>
      <c r="F249" s="29">
        <f t="shared" si="101"/>
        <v>135.80169430463513</v>
      </c>
      <c r="G249" s="30">
        <f t="shared" si="95"/>
        <v>10829.017355340964</v>
      </c>
      <c r="H249" s="25">
        <f t="shared" si="96"/>
        <v>22.843373020094997</v>
      </c>
      <c r="I249" s="33">
        <f>IF(G248&lt;0.5,"",IF(OR(YEAR(A249)&lt;YEAR(A250),G249&lt;0.5),SUM($H$11:H249)-SUM($I$11:I248),""))</f>
      </c>
      <c r="J249" s="35">
        <f t="shared" si="97"/>
        <v>40123.88690135959</v>
      </c>
      <c r="K249" s="35">
        <f t="shared" si="98"/>
        <v>14170.982644659043</v>
      </c>
      <c r="L249" s="33">
        <f t="shared" si="102"/>
        <v>29245.375912870983</v>
      </c>
      <c r="M249" s="33">
        <f t="shared" si="99"/>
        <v>5535.005292528544</v>
      </c>
    </row>
    <row r="250" spans="1:13" ht="12.75">
      <c r="A250" s="7">
        <f t="shared" si="100"/>
        <v>46022</v>
      </c>
      <c r="B250" s="23">
        <f t="shared" si="92"/>
        <v>240</v>
      </c>
      <c r="C250" s="30">
        <f t="shared" si="93"/>
        <v>227.1751863850151</v>
      </c>
      <c r="D250" s="30"/>
      <c r="E250" s="30">
        <f t="shared" si="94"/>
        <v>90.24181129450804</v>
      </c>
      <c r="F250" s="29">
        <f t="shared" si="101"/>
        <v>136.93337509050707</v>
      </c>
      <c r="G250" s="30">
        <f t="shared" si="95"/>
        <v>10692.083980250456</v>
      </c>
      <c r="H250" s="25">
        <f t="shared" si="96"/>
        <v>22.56045282362701</v>
      </c>
      <c r="I250" s="33">
        <f>IF(G249&lt;0.5,"",IF(OR(YEAR(A250)&lt;YEAR(A251),G250&lt;0.5),SUM($H$11:H250)-SUM($I$11:I249),""))</f>
        <v>288.89320651678463</v>
      </c>
      <c r="J250" s="35">
        <f t="shared" si="97"/>
        <v>40214.1287126541</v>
      </c>
      <c r="K250" s="35">
        <f t="shared" si="98"/>
        <v>14307.916019749551</v>
      </c>
      <c r="L250" s="33">
        <f t="shared" si="102"/>
        <v>29301.62495369279</v>
      </c>
      <c r="M250" s="33">
        <f t="shared" si="99"/>
        <v>5606.535841375392</v>
      </c>
    </row>
    <row r="251" spans="1:13" ht="12.75">
      <c r="A251" s="7">
        <f t="shared" si="100"/>
        <v>46053</v>
      </c>
      <c r="B251" s="23">
        <f t="shared" si="92"/>
        <v>241</v>
      </c>
      <c r="C251" s="30">
        <f t="shared" si="93"/>
        <v>227.1751863850151</v>
      </c>
      <c r="D251" s="30"/>
      <c r="E251" s="30">
        <f t="shared" si="94"/>
        <v>89.10069983542047</v>
      </c>
      <c r="F251" s="29">
        <f t="shared" si="101"/>
        <v>138.07448654959464</v>
      </c>
      <c r="G251" s="30">
        <f t="shared" si="95"/>
        <v>10554.009493700862</v>
      </c>
      <c r="H251" s="25">
        <f t="shared" si="96"/>
        <v>22.275174958855118</v>
      </c>
      <c r="I251" s="33">
        <f>IF(G250&lt;0.5,"",IF(OR(YEAR(A251)&lt;YEAR(A252),G251&lt;0.5),SUM($H$11:H251)-SUM($I$11:I250),""))</f>
      </c>
      <c r="J251" s="35">
        <f t="shared" si="97"/>
        <v>40303.22941248952</v>
      </c>
      <c r="K251" s="35">
        <f t="shared" si="98"/>
        <v>14445.990506299146</v>
      </c>
      <c r="L251" s="33">
        <f t="shared" si="102"/>
        <v>29357.547778039243</v>
      </c>
      <c r="M251" s="33">
        <f t="shared" si="99"/>
        <v>5606.535841375392</v>
      </c>
    </row>
    <row r="252" spans="1:13" ht="12.75">
      <c r="A252" s="7">
        <f t="shared" si="100"/>
        <v>46081</v>
      </c>
      <c r="B252" s="23">
        <f t="shared" si="92"/>
        <v>242</v>
      </c>
      <c r="C252" s="30">
        <f t="shared" si="93"/>
        <v>227.1751863850151</v>
      </c>
      <c r="D252" s="30"/>
      <c r="E252" s="30">
        <f t="shared" si="94"/>
        <v>87.95007911417385</v>
      </c>
      <c r="F252" s="29">
        <f t="shared" si="101"/>
        <v>139.22510727084125</v>
      </c>
      <c r="G252" s="30">
        <f t="shared" si="95"/>
        <v>10414.784386430021</v>
      </c>
      <c r="H252" s="25">
        <f t="shared" si="96"/>
        <v>21.98751977854346</v>
      </c>
      <c r="I252" s="33">
        <f>IF(G251&lt;0.5,"",IF(OR(YEAR(A252)&lt;YEAR(A253),G252&lt;0.5),SUM($H$11:H252)-SUM($I$11:I251),""))</f>
      </c>
      <c r="J252" s="35">
        <f t="shared" si="97"/>
        <v>40391.179491603696</v>
      </c>
      <c r="K252" s="35">
        <f t="shared" si="98"/>
        <v>14585.215613569986</v>
      </c>
      <c r="L252" s="33">
        <f t="shared" si="102"/>
        <v>29413.146277803735</v>
      </c>
      <c r="M252" s="33">
        <f t="shared" si="99"/>
        <v>5606.535841375392</v>
      </c>
    </row>
    <row r="253" spans="1:13" ht="12.75">
      <c r="A253" s="7">
        <f t="shared" si="100"/>
        <v>46112</v>
      </c>
      <c r="B253" s="23">
        <f aca="true" t="shared" si="103" ref="B253:B284">B252+1</f>
        <v>243</v>
      </c>
      <c r="C253" s="30">
        <f aca="true" t="shared" si="104" ref="C253:C284">IF(G252&gt;0.5,C252,"")</f>
        <v>227.1751863850151</v>
      </c>
      <c r="D253" s="30"/>
      <c r="E253" s="30">
        <f aca="true" t="shared" si="105" ref="E253:E284">IF(G252&gt;0.5,$J$3*G252,"")</f>
        <v>86.78986988691685</v>
      </c>
      <c r="F253" s="29">
        <f t="shared" si="101"/>
        <v>140.38531649809826</v>
      </c>
      <c r="G253" s="30">
        <f aca="true" t="shared" si="106" ref="G253:G284">IF(G252&gt;0.5,G252-F253,0)</f>
        <v>10274.399069931924</v>
      </c>
      <c r="H253" s="25">
        <f aca="true" t="shared" si="107" ref="H253:H284">IF(G252&gt;0.5,E253*$J$5,"")</f>
        <v>21.69746747172921</v>
      </c>
      <c r="I253" s="33">
        <f>IF(G252&lt;0.5,"",IF(OR(YEAR(A253)&lt;YEAR(A254),G253&lt;0.5),SUM($H$11:H253)-SUM($I$11:I252),""))</f>
      </c>
      <c r="J253" s="35">
        <f aca="true" t="shared" si="108" ref="J253:J284">IF(G252&gt;0.5,J252+E253,"")</f>
        <v>40477.969361490614</v>
      </c>
      <c r="K253" s="35">
        <f aca="true" t="shared" si="109" ref="K253:K284">IF(G252&gt;0.5,K252+F253,"")</f>
        <v>14725.600930068083</v>
      </c>
      <c r="L253" s="33">
        <f t="shared" si="102"/>
        <v>29468.422333907623</v>
      </c>
      <c r="M253" s="33">
        <f aca="true" t="shared" si="110" ref="M253:M284">IF(G252&lt;0.5,"",IF(I253="",M252,I253/(1+$J$4)^B253+M252))</f>
        <v>5606.535841375392</v>
      </c>
    </row>
    <row r="254" spans="1:13" ht="12.75">
      <c r="A254" s="7">
        <f t="shared" si="100"/>
        <v>46142</v>
      </c>
      <c r="B254" s="23">
        <f t="shared" si="103"/>
        <v>244</v>
      </c>
      <c r="C254" s="30">
        <f t="shared" si="104"/>
        <v>227.1751863850151</v>
      </c>
      <c r="D254" s="30"/>
      <c r="E254" s="30">
        <f t="shared" si="105"/>
        <v>85.6199922494327</v>
      </c>
      <c r="F254" s="29">
        <f t="shared" si="101"/>
        <v>141.5551941355824</v>
      </c>
      <c r="G254" s="30">
        <f t="shared" si="106"/>
        <v>10132.843875796341</v>
      </c>
      <c r="H254" s="25">
        <f t="shared" si="107"/>
        <v>21.404998062358175</v>
      </c>
      <c r="I254" s="33">
        <f>IF(G253&lt;0.5,"",IF(OR(YEAR(A254)&lt;YEAR(A255),G254&lt;0.5),SUM($H$11:H254)-SUM($I$11:I253),""))</f>
      </c>
      <c r="J254" s="35">
        <f t="shared" si="108"/>
        <v>40563.58935374005</v>
      </c>
      <c r="K254" s="35">
        <f t="shared" si="109"/>
        <v>14867.156124203666</v>
      </c>
      <c r="L254" s="33">
        <f t="shared" si="102"/>
        <v>29523.37781636385</v>
      </c>
      <c r="M254" s="33">
        <f t="shared" si="110"/>
        <v>5606.535841375392</v>
      </c>
    </row>
    <row r="255" spans="1:13" ht="12.75">
      <c r="A255" s="7">
        <f t="shared" si="100"/>
        <v>46173</v>
      </c>
      <c r="B255" s="23">
        <f t="shared" si="103"/>
        <v>245</v>
      </c>
      <c r="C255" s="30">
        <f t="shared" si="104"/>
        <v>227.1751863850151</v>
      </c>
      <c r="D255" s="30"/>
      <c r="E255" s="30">
        <f t="shared" si="105"/>
        <v>84.44036563163618</v>
      </c>
      <c r="F255" s="29">
        <f t="shared" si="101"/>
        <v>142.73482075337893</v>
      </c>
      <c r="G255" s="30">
        <f t="shared" si="106"/>
        <v>9990.109055042962</v>
      </c>
      <c r="H255" s="25">
        <f t="shared" si="107"/>
        <v>21.110091407909046</v>
      </c>
      <c r="I255" s="33">
        <f>IF(G254&lt;0.5,"",IF(OR(YEAR(A255)&lt;YEAR(A256),G255&lt;0.5),SUM($H$11:H255)-SUM($I$11:I254),""))</f>
      </c>
      <c r="J255" s="35">
        <f t="shared" si="108"/>
        <v>40648.02971937168</v>
      </c>
      <c r="K255" s="35">
        <f t="shared" si="109"/>
        <v>15009.890944957046</v>
      </c>
      <c r="L255" s="33">
        <f t="shared" si="102"/>
        <v>29578.014584340213</v>
      </c>
      <c r="M255" s="33">
        <f t="shared" si="110"/>
        <v>5606.535841375392</v>
      </c>
    </row>
    <row r="256" spans="1:13" ht="12.75">
      <c r="A256" s="7">
        <f t="shared" si="100"/>
        <v>46203</v>
      </c>
      <c r="B256" s="23">
        <f t="shared" si="103"/>
        <v>246</v>
      </c>
      <c r="C256" s="30">
        <f t="shared" si="104"/>
        <v>227.1751863850151</v>
      </c>
      <c r="D256" s="30"/>
      <c r="E256" s="30">
        <f t="shared" si="105"/>
        <v>83.25090879202467</v>
      </c>
      <c r="F256" s="29">
        <f t="shared" si="101"/>
        <v>143.92427759299045</v>
      </c>
      <c r="G256" s="30">
        <f t="shared" si="106"/>
        <v>9846.184777449971</v>
      </c>
      <c r="H256" s="25">
        <f t="shared" si="107"/>
        <v>20.81272719800617</v>
      </c>
      <c r="I256" s="33">
        <f>IF(G255&lt;0.5,"",IF(OR(YEAR(A256)&lt;YEAR(A257),G256&lt;0.5),SUM($H$11:H256)-SUM($I$11:I255),""))</f>
      </c>
      <c r="J256" s="35">
        <f t="shared" si="108"/>
        <v>40731.28062816371</v>
      </c>
      <c r="K256" s="35">
        <f t="shared" si="109"/>
        <v>15153.815222550036</v>
      </c>
      <c r="L256" s="33">
        <f t="shared" si="102"/>
        <v>29632.334486222266</v>
      </c>
      <c r="M256" s="33">
        <f t="shared" si="110"/>
        <v>5606.535841375392</v>
      </c>
    </row>
    <row r="257" spans="1:13" ht="12.75">
      <c r="A257" s="7">
        <f t="shared" si="100"/>
        <v>46234</v>
      </c>
      <c r="B257" s="23">
        <f t="shared" si="103"/>
        <v>247</v>
      </c>
      <c r="C257" s="30">
        <f t="shared" si="104"/>
        <v>227.1751863850151</v>
      </c>
      <c r="D257" s="30"/>
      <c r="E257" s="30">
        <f t="shared" si="105"/>
        <v>82.05153981208309</v>
      </c>
      <c r="F257" s="29">
        <f t="shared" si="101"/>
        <v>145.12364657293202</v>
      </c>
      <c r="G257" s="30">
        <f t="shared" si="106"/>
        <v>9701.061130877039</v>
      </c>
      <c r="H257" s="25">
        <f t="shared" si="107"/>
        <v>20.512884953020773</v>
      </c>
      <c r="I257" s="33">
        <f>IF(G256&lt;0.5,"",IF(OR(YEAR(A257)&lt;YEAR(A258),G257&lt;0.5),SUM($H$11:H257)-SUM($I$11:I256),""))</f>
      </c>
      <c r="J257" s="35">
        <f t="shared" si="108"/>
        <v>40813.332167975794</v>
      </c>
      <c r="K257" s="35">
        <f t="shared" si="109"/>
        <v>15298.938869122969</v>
      </c>
      <c r="L257" s="33">
        <f t="shared" si="102"/>
        <v>29686.33935967584</v>
      </c>
      <c r="M257" s="33">
        <f t="shared" si="110"/>
        <v>5606.535841375392</v>
      </c>
    </row>
    <row r="258" spans="1:13" ht="12.75">
      <c r="A258" s="7">
        <f t="shared" si="100"/>
        <v>46265</v>
      </c>
      <c r="B258" s="23">
        <f t="shared" si="103"/>
        <v>248</v>
      </c>
      <c r="C258" s="30">
        <f t="shared" si="104"/>
        <v>227.1751863850151</v>
      </c>
      <c r="D258" s="30"/>
      <c r="E258" s="30">
        <f t="shared" si="105"/>
        <v>80.84217609064198</v>
      </c>
      <c r="F258" s="29">
        <f t="shared" si="101"/>
        <v>146.33301029437314</v>
      </c>
      <c r="G258" s="30">
        <f t="shared" si="106"/>
        <v>9554.728120582666</v>
      </c>
      <c r="H258" s="25">
        <f t="shared" si="107"/>
        <v>20.210544022660496</v>
      </c>
      <c r="I258" s="33">
        <f>IF(G257&lt;0.5,"",IF(OR(YEAR(A258)&lt;YEAR(A259),G258&lt;0.5),SUM($H$11:H258)-SUM($I$11:I257),""))</f>
      </c>
      <c r="J258" s="35">
        <f t="shared" si="108"/>
        <v>40894.174344066436</v>
      </c>
      <c r="K258" s="35">
        <f t="shared" si="109"/>
        <v>15445.271879417342</v>
      </c>
      <c r="L258" s="33">
        <f t="shared" si="102"/>
        <v>29740.03103170922</v>
      </c>
      <c r="M258" s="33">
        <f t="shared" si="110"/>
        <v>5606.535841375392</v>
      </c>
    </row>
    <row r="259" spans="1:13" ht="12.75">
      <c r="A259" s="7">
        <f t="shared" si="100"/>
        <v>46295</v>
      </c>
      <c r="B259" s="23">
        <f t="shared" si="103"/>
        <v>249</v>
      </c>
      <c r="C259" s="30">
        <f t="shared" si="104"/>
        <v>227.1751863850151</v>
      </c>
      <c r="D259" s="30"/>
      <c r="E259" s="30">
        <f t="shared" si="105"/>
        <v>79.62273433818888</v>
      </c>
      <c r="F259" s="29">
        <f t="shared" si="101"/>
        <v>147.55245204682623</v>
      </c>
      <c r="G259" s="30">
        <f t="shared" si="106"/>
        <v>9407.17566853584</v>
      </c>
      <c r="H259" s="25">
        <f t="shared" si="107"/>
        <v>19.90568358454722</v>
      </c>
      <c r="I259" s="33">
        <f>IF(G258&lt;0.5,"",IF(OR(YEAR(A259)&lt;YEAR(A260),G259&lt;0.5),SUM($H$11:H259)-SUM($I$11:I258),""))</f>
      </c>
      <c r="J259" s="35">
        <f t="shared" si="108"/>
        <v>40973.79707840463</v>
      </c>
      <c r="K259" s="35">
        <f t="shared" si="109"/>
        <v>15592.824331464168</v>
      </c>
      <c r="L259" s="33">
        <f t="shared" si="102"/>
        <v>29793.411318734947</v>
      </c>
      <c r="M259" s="33">
        <f t="shared" si="110"/>
        <v>5606.535841375392</v>
      </c>
    </row>
    <row r="260" spans="1:13" ht="12.75">
      <c r="A260" s="7">
        <f t="shared" si="100"/>
        <v>46326</v>
      </c>
      <c r="B260" s="23">
        <f t="shared" si="103"/>
        <v>250</v>
      </c>
      <c r="C260" s="30">
        <f t="shared" si="104"/>
        <v>227.1751863850151</v>
      </c>
      <c r="D260" s="30"/>
      <c r="E260" s="30">
        <f t="shared" si="105"/>
        <v>78.39313057113199</v>
      </c>
      <c r="F260" s="29">
        <f t="shared" si="101"/>
        <v>148.78205581388312</v>
      </c>
      <c r="G260" s="30">
        <f t="shared" si="106"/>
        <v>9258.393612721957</v>
      </c>
      <c r="H260" s="25">
        <f t="shared" si="107"/>
        <v>19.598282642782998</v>
      </c>
      <c r="I260" s="33">
        <f>IF(G259&lt;0.5,"",IF(OR(YEAR(A260)&lt;YEAR(A261),G260&lt;0.5),SUM($H$11:H260)-SUM($I$11:I259),""))</f>
      </c>
      <c r="J260" s="35">
        <f t="shared" si="108"/>
        <v>41052.19020897576</v>
      </c>
      <c r="K260" s="35">
        <f t="shared" si="109"/>
        <v>15741.60638727805</v>
      </c>
      <c r="L260" s="33">
        <f t="shared" si="102"/>
        <v>29846.482026631278</v>
      </c>
      <c r="M260" s="33">
        <f t="shared" si="110"/>
        <v>5606.535841375392</v>
      </c>
    </row>
    <row r="261" spans="1:13" ht="12.75">
      <c r="A261" s="7">
        <f t="shared" si="100"/>
        <v>46356</v>
      </c>
      <c r="B261" s="23">
        <f t="shared" si="103"/>
        <v>251</v>
      </c>
      <c r="C261" s="30">
        <f t="shared" si="104"/>
        <v>227.1751863850151</v>
      </c>
      <c r="D261" s="30"/>
      <c r="E261" s="30">
        <f t="shared" si="105"/>
        <v>77.15328010601631</v>
      </c>
      <c r="F261" s="29">
        <f t="shared" si="101"/>
        <v>150.0219062789988</v>
      </c>
      <c r="G261" s="30">
        <f t="shared" si="106"/>
        <v>9108.371706442958</v>
      </c>
      <c r="H261" s="25">
        <f t="shared" si="107"/>
        <v>19.288320026504078</v>
      </c>
      <c r="I261" s="33">
        <f>IF(G260&lt;0.5,"",IF(OR(YEAR(A261)&lt;YEAR(A262),G261&lt;0.5),SUM($H$11:H261)-SUM($I$11:I260),""))</f>
      </c>
      <c r="J261" s="35">
        <f t="shared" si="108"/>
        <v>41129.34348908177</v>
      </c>
      <c r="K261" s="35">
        <f t="shared" si="109"/>
        <v>15891.628293557049</v>
      </c>
      <c r="L261" s="33">
        <f t="shared" si="102"/>
        <v>29899.244950803273</v>
      </c>
      <c r="M261" s="33">
        <f t="shared" si="110"/>
        <v>5606.535841375392</v>
      </c>
    </row>
    <row r="262" spans="1:13" ht="12.75">
      <c r="A262" s="7">
        <f t="shared" si="100"/>
        <v>46387</v>
      </c>
      <c r="B262" s="23">
        <f t="shared" si="103"/>
        <v>252</v>
      </c>
      <c r="C262" s="30">
        <f t="shared" si="104"/>
        <v>227.1751863850151</v>
      </c>
      <c r="D262" s="30"/>
      <c r="E262" s="30">
        <f t="shared" si="105"/>
        <v>75.90309755369132</v>
      </c>
      <c r="F262" s="29">
        <f t="shared" si="101"/>
        <v>151.2720888313238</v>
      </c>
      <c r="G262" s="30">
        <f t="shared" si="106"/>
        <v>8957.099617611635</v>
      </c>
      <c r="H262" s="25">
        <f t="shared" si="107"/>
        <v>18.97577438842283</v>
      </c>
      <c r="I262" s="33">
        <f>IF(G261&lt;0.5,"",IF(OR(YEAR(A262)&lt;YEAR(A263),G262&lt;0.5),SUM($H$11:H262)-SUM($I$11:I261),""))</f>
        <v>247.77946849534055</v>
      </c>
      <c r="J262" s="35">
        <f t="shared" si="108"/>
        <v>41205.24658663546</v>
      </c>
      <c r="K262" s="35">
        <f t="shared" si="109"/>
        <v>16042.900382388372</v>
      </c>
      <c r="L262" s="33">
        <f t="shared" si="102"/>
        <v>29951.701876243533</v>
      </c>
      <c r="M262" s="33">
        <f t="shared" si="110"/>
        <v>5663.75049281386</v>
      </c>
    </row>
    <row r="263" spans="1:13" ht="12.75">
      <c r="A263" s="7">
        <f t="shared" si="100"/>
        <v>46418</v>
      </c>
      <c r="B263" s="23">
        <f t="shared" si="103"/>
        <v>253</v>
      </c>
      <c r="C263" s="30">
        <f t="shared" si="104"/>
        <v>227.1751863850151</v>
      </c>
      <c r="D263" s="30"/>
      <c r="E263" s="30">
        <f t="shared" si="105"/>
        <v>74.64249681343028</v>
      </c>
      <c r="F263" s="29">
        <f t="shared" si="101"/>
        <v>152.53268957158483</v>
      </c>
      <c r="G263" s="30">
        <f t="shared" si="106"/>
        <v>8804.56692804005</v>
      </c>
      <c r="H263" s="25">
        <f t="shared" si="107"/>
        <v>18.66062420335757</v>
      </c>
      <c r="I263" s="33">
        <f>IF(G262&lt;0.5,"",IF(OR(YEAR(A263)&lt;YEAR(A264),G263&lt;0.5),SUM($H$11:H263)-SUM($I$11:I262),""))</f>
      </c>
      <c r="J263" s="35">
        <f t="shared" si="108"/>
        <v>41279.88908344889</v>
      </c>
      <c r="K263" s="35">
        <f t="shared" si="109"/>
        <v>16195.433071959957</v>
      </c>
      <c r="L263" s="33">
        <f t="shared" si="102"/>
        <v>30003.854577592592</v>
      </c>
      <c r="M263" s="33">
        <f t="shared" si="110"/>
        <v>5663.75049281386</v>
      </c>
    </row>
    <row r="264" spans="1:13" ht="12.75">
      <c r="A264" s="7">
        <f t="shared" si="100"/>
        <v>46446</v>
      </c>
      <c r="B264" s="23">
        <f t="shared" si="103"/>
        <v>254</v>
      </c>
      <c r="C264" s="30">
        <f t="shared" si="104"/>
        <v>227.1751863850151</v>
      </c>
      <c r="D264" s="30"/>
      <c r="E264" s="30">
        <f t="shared" si="105"/>
        <v>73.37139106700042</v>
      </c>
      <c r="F264" s="29">
        <f t="shared" si="101"/>
        <v>153.8037953180147</v>
      </c>
      <c r="G264" s="30">
        <f t="shared" si="106"/>
        <v>8650.763132722035</v>
      </c>
      <c r="H264" s="25">
        <f t="shared" si="107"/>
        <v>18.342847766750104</v>
      </c>
      <c r="I264" s="33">
        <f>IF(G263&lt;0.5,"",IF(OR(YEAR(A264)&lt;YEAR(A265),G264&lt;0.5),SUM($H$11:H264)-SUM($I$11:I263),""))</f>
      </c>
      <c r="J264" s="35">
        <f t="shared" si="108"/>
        <v>41353.26047451589</v>
      </c>
      <c r="K264" s="35">
        <f t="shared" si="109"/>
        <v>16349.236867277972</v>
      </c>
      <c r="L264" s="33">
        <f t="shared" si="102"/>
        <v>30055.704819198945</v>
      </c>
      <c r="M264" s="33">
        <f t="shared" si="110"/>
        <v>5663.75049281386</v>
      </c>
    </row>
    <row r="265" spans="1:13" ht="12.75">
      <c r="A265" s="7">
        <f t="shared" si="100"/>
        <v>46477</v>
      </c>
      <c r="B265" s="23">
        <f t="shared" si="103"/>
        <v>255</v>
      </c>
      <c r="C265" s="30">
        <f t="shared" si="104"/>
        <v>227.1751863850151</v>
      </c>
      <c r="D265" s="30"/>
      <c r="E265" s="30">
        <f t="shared" si="105"/>
        <v>72.08969277268362</v>
      </c>
      <c r="F265" s="29">
        <f t="shared" si="101"/>
        <v>155.0854936123315</v>
      </c>
      <c r="G265" s="30">
        <f t="shared" si="106"/>
        <v>8495.677639109703</v>
      </c>
      <c r="H265" s="25">
        <f t="shared" si="107"/>
        <v>18.022423193170905</v>
      </c>
      <c r="I265" s="33">
        <f>IF(G264&lt;0.5,"",IF(OR(YEAR(A265)&lt;YEAR(A266),G265&lt;0.5),SUM($H$11:H265)-SUM($I$11:I264),""))</f>
      </c>
      <c r="J265" s="35">
        <f t="shared" si="108"/>
        <v>41425.350167288576</v>
      </c>
      <c r="K265" s="35">
        <f t="shared" si="109"/>
        <v>16504.322360890303</v>
      </c>
      <c r="L265" s="33">
        <f t="shared" si="102"/>
        <v>30107.25435517875</v>
      </c>
      <c r="M265" s="33">
        <f t="shared" si="110"/>
        <v>5663.75049281386</v>
      </c>
    </row>
    <row r="266" spans="1:13" ht="12.75">
      <c r="A266" s="7">
        <f t="shared" si="100"/>
        <v>46507</v>
      </c>
      <c r="B266" s="23">
        <f t="shared" si="103"/>
        <v>256</v>
      </c>
      <c r="C266" s="30">
        <f t="shared" si="104"/>
        <v>227.1751863850151</v>
      </c>
      <c r="D266" s="30"/>
      <c r="E266" s="30">
        <f t="shared" si="105"/>
        <v>70.79731365924752</v>
      </c>
      <c r="F266" s="29">
        <f t="shared" si="101"/>
        <v>156.3778727257676</v>
      </c>
      <c r="G266" s="30">
        <f t="shared" si="106"/>
        <v>8339.299766383936</v>
      </c>
      <c r="H266" s="25">
        <f t="shared" si="107"/>
        <v>17.69932841481188</v>
      </c>
      <c r="I266" s="33">
        <f>IF(G265&lt;0.5,"",IF(OR(YEAR(A266)&lt;YEAR(A267),G266&lt;0.5),SUM($H$11:H266)-SUM($I$11:I265),""))</f>
      </c>
      <c r="J266" s="35">
        <f t="shared" si="108"/>
        <v>41496.147480947824</v>
      </c>
      <c r="K266" s="35">
        <f t="shared" si="109"/>
        <v>16660.70023361607</v>
      </c>
      <c r="L266" s="33">
        <f t="shared" si="102"/>
        <v>30158.50492947516</v>
      </c>
      <c r="M266" s="33">
        <f t="shared" si="110"/>
        <v>5663.75049281386</v>
      </c>
    </row>
    <row r="267" spans="1:13" ht="12.75">
      <c r="A267" s="7">
        <f t="shared" si="100"/>
        <v>46538</v>
      </c>
      <c r="B267" s="23">
        <f t="shared" si="103"/>
        <v>257</v>
      </c>
      <c r="C267" s="30">
        <f t="shared" si="104"/>
        <v>227.1751863850151</v>
      </c>
      <c r="D267" s="30"/>
      <c r="E267" s="30">
        <f t="shared" si="105"/>
        <v>69.49416471986613</v>
      </c>
      <c r="F267" s="29">
        <f t="shared" si="101"/>
        <v>157.681021665149</v>
      </c>
      <c r="G267" s="30">
        <f t="shared" si="106"/>
        <v>8181.618744718787</v>
      </c>
      <c r="H267" s="25">
        <f t="shared" si="107"/>
        <v>17.373541179966534</v>
      </c>
      <c r="I267" s="33">
        <f>IF(G266&lt;0.5,"",IF(OR(YEAR(A267)&lt;YEAR(A268),G267&lt;0.5),SUM($H$11:H267)-SUM($I$11:I266),""))</f>
      </c>
      <c r="J267" s="35">
        <f t="shared" si="108"/>
        <v>41565.64164566769</v>
      </c>
      <c r="K267" s="35">
        <f t="shared" si="109"/>
        <v>16818.38125528122</v>
      </c>
      <c r="L267" s="33">
        <f t="shared" si="102"/>
        <v>30209.45827591732</v>
      </c>
      <c r="M267" s="33">
        <f t="shared" si="110"/>
        <v>5663.75049281386</v>
      </c>
    </row>
    <row r="268" spans="1:13" ht="12.75">
      <c r="A268" s="7">
        <f t="shared" si="100"/>
        <v>46568</v>
      </c>
      <c r="B268" s="23">
        <f t="shared" si="103"/>
        <v>258</v>
      </c>
      <c r="C268" s="30">
        <f t="shared" si="104"/>
        <v>227.1751863850151</v>
      </c>
      <c r="D268" s="30"/>
      <c r="E268" s="30">
        <f t="shared" si="105"/>
        <v>68.18015620598989</v>
      </c>
      <c r="F268" s="29">
        <f t="shared" si="101"/>
        <v>158.9950301790252</v>
      </c>
      <c r="G268" s="30">
        <f t="shared" si="106"/>
        <v>8022.623714539762</v>
      </c>
      <c r="H268" s="25">
        <f t="shared" si="107"/>
        <v>17.045039051497472</v>
      </c>
      <c r="I268" s="33">
        <f>IF(G267&lt;0.5,"",IF(OR(YEAR(A268)&lt;YEAR(A269),G268&lt;0.5),SUM($H$11:H268)-SUM($I$11:I267),""))</f>
      </c>
      <c r="J268" s="35">
        <f t="shared" si="108"/>
        <v>41633.82180187368</v>
      </c>
      <c r="K268" s="35">
        <f t="shared" si="109"/>
        <v>16977.376285460246</v>
      </c>
      <c r="L268" s="33">
        <f t="shared" si="102"/>
        <v>30260.116118279042</v>
      </c>
      <c r="M268" s="33">
        <f t="shared" si="110"/>
        <v>5663.75049281386</v>
      </c>
    </row>
    <row r="269" spans="1:13" ht="12.75">
      <c r="A269" s="7">
        <f aca="true" t="shared" si="111" ref="A269:A332">IF($C$6&lt;27,DATE((YEAR(A268)-1900),MONTH(A268)+1,$C$6),DATE((YEAR(A268)-1900),MONTH(A268)+2,1)-1)</f>
        <v>46599</v>
      </c>
      <c r="B269" s="23">
        <f t="shared" si="103"/>
        <v>259</v>
      </c>
      <c r="C269" s="30">
        <f t="shared" si="104"/>
        <v>227.1751863850151</v>
      </c>
      <c r="D269" s="30"/>
      <c r="E269" s="30">
        <f t="shared" si="105"/>
        <v>66.85519762116468</v>
      </c>
      <c r="F269" s="29">
        <f aca="true" t="shared" si="112" ref="F269:F332">IF(G268&gt;0.5,C269-E269+D269,"")</f>
        <v>160.31998876385043</v>
      </c>
      <c r="G269" s="30">
        <f t="shared" si="106"/>
        <v>7862.3037257759115</v>
      </c>
      <c r="H269" s="25">
        <f t="shared" si="107"/>
        <v>16.71379940529117</v>
      </c>
      <c r="I269" s="33">
        <f>IF(G268&lt;0.5,"",IF(OR(YEAR(A269)&lt;YEAR(A270),G269&lt;0.5),SUM($H$11:H269)-SUM($I$11:I268),""))</f>
      </c>
      <c r="J269" s="35">
        <f t="shared" si="108"/>
        <v>41700.67699949485</v>
      </c>
      <c r="K269" s="35">
        <f t="shared" si="109"/>
        <v>17137.696274224098</v>
      </c>
      <c r="L269" s="33">
        <f aca="true" t="shared" si="113" ref="L269:L332">IF(G268&gt;0.5,(C269+D269)/(1+$J$4)^B269+L268,"")</f>
        <v>30310.48017033709</v>
      </c>
      <c r="M269" s="33">
        <f t="shared" si="110"/>
        <v>5663.75049281386</v>
      </c>
    </row>
    <row r="270" spans="1:13" ht="12.75">
      <c r="A270" s="7">
        <f t="shared" si="111"/>
        <v>46630</v>
      </c>
      <c r="B270" s="23">
        <f t="shared" si="103"/>
        <v>260</v>
      </c>
      <c r="C270" s="30">
        <f t="shared" si="104"/>
        <v>227.1751863850151</v>
      </c>
      <c r="D270" s="30"/>
      <c r="E270" s="30">
        <f t="shared" si="105"/>
        <v>65.51919771479926</v>
      </c>
      <c r="F270" s="29">
        <f t="shared" si="112"/>
        <v>161.65598867021583</v>
      </c>
      <c r="G270" s="30">
        <f t="shared" si="106"/>
        <v>7700.647737105695</v>
      </c>
      <c r="H270" s="25">
        <f t="shared" si="107"/>
        <v>16.379799428699815</v>
      </c>
      <c r="I270" s="33">
        <f>IF(G269&lt;0.5,"",IF(OR(YEAR(A270)&lt;YEAR(A271),G270&lt;0.5),SUM($H$11:H270)-SUM($I$11:I269),""))</f>
      </c>
      <c r="J270" s="35">
        <f t="shared" si="108"/>
        <v>41766.19619720965</v>
      </c>
      <c r="K270" s="35">
        <f t="shared" si="109"/>
        <v>17299.352262894314</v>
      </c>
      <c r="L270" s="33">
        <f t="shared" si="113"/>
        <v>30360.552135929185</v>
      </c>
      <c r="M270" s="33">
        <f t="shared" si="110"/>
        <v>5663.75049281386</v>
      </c>
    </row>
    <row r="271" spans="1:13" ht="12.75">
      <c r="A271" s="7">
        <f t="shared" si="111"/>
        <v>46660</v>
      </c>
      <c r="B271" s="23">
        <f t="shared" si="103"/>
        <v>261</v>
      </c>
      <c r="C271" s="30">
        <f t="shared" si="104"/>
        <v>227.1751863850151</v>
      </c>
      <c r="D271" s="30"/>
      <c r="E271" s="30">
        <f t="shared" si="105"/>
        <v>64.17206447588079</v>
      </c>
      <c r="F271" s="29">
        <f t="shared" si="112"/>
        <v>163.00312190913434</v>
      </c>
      <c r="G271" s="30">
        <f t="shared" si="106"/>
        <v>7537.644615196561</v>
      </c>
      <c r="H271" s="25">
        <f t="shared" si="107"/>
        <v>16.043016118970197</v>
      </c>
      <c r="I271" s="33">
        <f>IF(G270&lt;0.5,"",IF(OR(YEAR(A271)&lt;YEAR(A272),G271&lt;0.5),SUM($H$11:H271)-SUM($I$11:I270),""))</f>
      </c>
      <c r="J271" s="35">
        <f t="shared" si="108"/>
        <v>41830.36826168553</v>
      </c>
      <c r="K271" s="35">
        <f t="shared" si="109"/>
        <v>17462.35538480345</v>
      </c>
      <c r="L271" s="33">
        <f t="shared" si="113"/>
        <v>30410.333709011633</v>
      </c>
      <c r="M271" s="33">
        <f t="shared" si="110"/>
        <v>5663.75049281386</v>
      </c>
    </row>
    <row r="272" spans="1:13" ht="12.75">
      <c r="A272" s="7">
        <f t="shared" si="111"/>
        <v>46691</v>
      </c>
      <c r="B272" s="23">
        <f t="shared" si="103"/>
        <v>262</v>
      </c>
      <c r="C272" s="30">
        <f t="shared" si="104"/>
        <v>227.1751863850151</v>
      </c>
      <c r="D272" s="30"/>
      <c r="E272" s="30">
        <f t="shared" si="105"/>
        <v>62.813705126638006</v>
      </c>
      <c r="F272" s="29">
        <f t="shared" si="112"/>
        <v>164.3614812583771</v>
      </c>
      <c r="G272" s="30">
        <f t="shared" si="106"/>
        <v>7373.283133938184</v>
      </c>
      <c r="H272" s="25">
        <f t="shared" si="107"/>
        <v>15.703426281659501</v>
      </c>
      <c r="I272" s="33">
        <f>IF(G271&lt;0.5,"",IF(OR(YEAR(A272)&lt;YEAR(A273),G272&lt;0.5),SUM($H$11:H272)-SUM($I$11:I271),""))</f>
      </c>
      <c r="J272" s="35">
        <f t="shared" si="108"/>
        <v>41893.18196681217</v>
      </c>
      <c r="K272" s="35">
        <f t="shared" si="109"/>
        <v>17626.716866061826</v>
      </c>
      <c r="L272" s="33">
        <f t="shared" si="113"/>
        <v>30459.826573716633</v>
      </c>
      <c r="M272" s="33">
        <f t="shared" si="110"/>
        <v>5663.75049281386</v>
      </c>
    </row>
    <row r="273" spans="1:13" ht="12.75">
      <c r="A273" s="7">
        <f t="shared" si="111"/>
        <v>46721</v>
      </c>
      <c r="B273" s="23">
        <f t="shared" si="103"/>
        <v>263</v>
      </c>
      <c r="C273" s="30">
        <f t="shared" si="104"/>
        <v>227.1751863850151</v>
      </c>
      <c r="D273" s="30"/>
      <c r="E273" s="30">
        <f t="shared" si="105"/>
        <v>61.44402611615153</v>
      </c>
      <c r="F273" s="29">
        <f t="shared" si="112"/>
        <v>165.7311602688636</v>
      </c>
      <c r="G273" s="30">
        <f t="shared" si="106"/>
        <v>7207.55197366932</v>
      </c>
      <c r="H273" s="25">
        <f t="shared" si="107"/>
        <v>15.361006529037882</v>
      </c>
      <c r="I273" s="33">
        <f>IF(G272&lt;0.5,"",IF(OR(YEAR(A273)&lt;YEAR(A274),G273&lt;0.5),SUM($H$11:H273)-SUM($I$11:I272),""))</f>
      </c>
      <c r="J273" s="35">
        <f t="shared" si="108"/>
        <v>41954.62599292832</v>
      </c>
      <c r="K273" s="35">
        <f t="shared" si="109"/>
        <v>17792.44802633069</v>
      </c>
      <c r="L273" s="33">
        <f t="shared" si="113"/>
        <v>30509.03240440926</v>
      </c>
      <c r="M273" s="33">
        <f t="shared" si="110"/>
        <v>5663.75049281386</v>
      </c>
    </row>
    <row r="274" spans="1:13" ht="12.75">
      <c r="A274" s="7">
        <f t="shared" si="111"/>
        <v>46752</v>
      </c>
      <c r="B274" s="23">
        <f t="shared" si="103"/>
        <v>264</v>
      </c>
      <c r="C274" s="30">
        <f t="shared" si="104"/>
        <v>227.1751863850151</v>
      </c>
      <c r="D274" s="30"/>
      <c r="E274" s="30">
        <f t="shared" si="105"/>
        <v>60.062933113911</v>
      </c>
      <c r="F274" s="29">
        <f t="shared" si="112"/>
        <v>167.11225327110412</v>
      </c>
      <c r="G274" s="30">
        <f t="shared" si="106"/>
        <v>7040.439720398216</v>
      </c>
      <c r="H274" s="25">
        <f t="shared" si="107"/>
        <v>15.01573327847775</v>
      </c>
      <c r="I274" s="33">
        <f>IF(G273&lt;0.5,"",IF(OR(YEAR(A274)&lt;YEAR(A275),G274&lt;0.5),SUM($H$11:H274)-SUM($I$11:I273),""))</f>
        <v>202.3605848516927</v>
      </c>
      <c r="J274" s="35">
        <f t="shared" si="108"/>
        <v>42014.68892604223</v>
      </c>
      <c r="K274" s="35">
        <f t="shared" si="109"/>
        <v>17959.560279601796</v>
      </c>
      <c r="L274" s="33">
        <f t="shared" si="113"/>
        <v>30557.9528657441</v>
      </c>
      <c r="M274" s="33">
        <f t="shared" si="110"/>
        <v>5707.32731704569</v>
      </c>
    </row>
    <row r="275" spans="1:13" ht="12.75">
      <c r="A275" s="7">
        <f t="shared" si="111"/>
        <v>46783</v>
      </c>
      <c r="B275" s="23">
        <f t="shared" si="103"/>
        <v>265</v>
      </c>
      <c r="C275" s="30">
        <f t="shared" si="104"/>
        <v>227.1751863850151</v>
      </c>
      <c r="D275" s="30"/>
      <c r="E275" s="30">
        <f t="shared" si="105"/>
        <v>58.670331003318466</v>
      </c>
      <c r="F275" s="29">
        <f t="shared" si="112"/>
        <v>168.50485538169664</v>
      </c>
      <c r="G275" s="30">
        <f t="shared" si="106"/>
        <v>6871.934865016519</v>
      </c>
      <c r="H275" s="25">
        <f t="shared" si="107"/>
        <v>14.667582750829617</v>
      </c>
      <c r="I275" s="33">
        <f>IF(G274&lt;0.5,"",IF(OR(YEAR(A275)&lt;YEAR(A276),G275&lt;0.5),SUM($H$11:H275)-SUM($I$11:I274),""))</f>
      </c>
      <c r="J275" s="35">
        <f t="shared" si="108"/>
        <v>42073.35925704555</v>
      </c>
      <c r="K275" s="35">
        <f t="shared" si="109"/>
        <v>18128.06513498349</v>
      </c>
      <c r="L275" s="33">
        <f t="shared" si="113"/>
        <v>30606.58961272157</v>
      </c>
      <c r="M275" s="33">
        <f t="shared" si="110"/>
        <v>5707.32731704569</v>
      </c>
    </row>
    <row r="276" spans="1:13" ht="12.75">
      <c r="A276" s="7">
        <f t="shared" si="111"/>
        <v>46812</v>
      </c>
      <c r="B276" s="23">
        <f t="shared" si="103"/>
        <v>266</v>
      </c>
      <c r="C276" s="30">
        <f t="shared" si="104"/>
        <v>227.1751863850151</v>
      </c>
      <c r="D276" s="30"/>
      <c r="E276" s="30">
        <f t="shared" si="105"/>
        <v>57.26612387513766</v>
      </c>
      <c r="F276" s="29">
        <f t="shared" si="112"/>
        <v>169.90906250987746</v>
      </c>
      <c r="G276" s="30">
        <f t="shared" si="106"/>
        <v>6702.025802506641</v>
      </c>
      <c r="H276" s="25">
        <f t="shared" si="107"/>
        <v>14.316530968784415</v>
      </c>
      <c r="I276" s="33">
        <f>IF(G275&lt;0.5,"",IF(OR(YEAR(A276)&lt;YEAR(A277),G276&lt;0.5),SUM($H$11:H276)-SUM($I$11:I275),""))</f>
      </c>
      <c r="J276" s="35">
        <f t="shared" si="108"/>
        <v>42130.62538092069</v>
      </c>
      <c r="K276" s="35">
        <f t="shared" si="109"/>
        <v>18297.974197493368</v>
      </c>
      <c r="L276" s="33">
        <f t="shared" si="113"/>
        <v>30654.94429074391</v>
      </c>
      <c r="M276" s="33">
        <f t="shared" si="110"/>
        <v>5707.32731704569</v>
      </c>
    </row>
    <row r="277" spans="1:13" ht="12.75">
      <c r="A277" s="7">
        <f t="shared" si="111"/>
        <v>46843</v>
      </c>
      <c r="B277" s="23">
        <f t="shared" si="103"/>
        <v>267</v>
      </c>
      <c r="C277" s="30">
        <f t="shared" si="104"/>
        <v>227.1751863850151</v>
      </c>
      <c r="D277" s="30"/>
      <c r="E277" s="30">
        <f t="shared" si="105"/>
        <v>55.850215020888676</v>
      </c>
      <c r="F277" s="29">
        <f t="shared" si="112"/>
        <v>171.32497136412644</v>
      </c>
      <c r="G277" s="30">
        <f t="shared" si="106"/>
        <v>6530.700831142515</v>
      </c>
      <c r="H277" s="25">
        <f t="shared" si="107"/>
        <v>13.962553755222169</v>
      </c>
      <c r="I277" s="33">
        <f>IF(G276&lt;0.5,"",IF(OR(YEAR(A277)&lt;YEAR(A278),G277&lt;0.5),SUM($H$11:H277)-SUM($I$11:I276),""))</f>
      </c>
      <c r="J277" s="35">
        <f t="shared" si="108"/>
        <v>42186.47559594158</v>
      </c>
      <c r="K277" s="35">
        <f t="shared" si="109"/>
        <v>18469.299168857495</v>
      </c>
      <c r="L277" s="33">
        <f t="shared" si="113"/>
        <v>30703.018535670846</v>
      </c>
      <c r="M277" s="33">
        <f t="shared" si="110"/>
        <v>5707.32731704569</v>
      </c>
    </row>
    <row r="278" spans="1:13" ht="12.75">
      <c r="A278" s="7">
        <f t="shared" si="111"/>
        <v>46873</v>
      </c>
      <c r="B278" s="23">
        <f t="shared" si="103"/>
        <v>268</v>
      </c>
      <c r="C278" s="30">
        <f t="shared" si="104"/>
        <v>227.1751863850151</v>
      </c>
      <c r="D278" s="30"/>
      <c r="E278" s="30">
        <f t="shared" si="105"/>
        <v>54.42250692618762</v>
      </c>
      <c r="F278" s="29">
        <f t="shared" si="112"/>
        <v>172.7526794588275</v>
      </c>
      <c r="G278" s="30">
        <f t="shared" si="106"/>
        <v>6357.948151683688</v>
      </c>
      <c r="H278" s="25">
        <f t="shared" si="107"/>
        <v>13.605626731546906</v>
      </c>
      <c r="I278" s="33">
        <f>IF(G277&lt;0.5,"",IF(OR(YEAR(A278)&lt;YEAR(A279),G278&lt;0.5),SUM($H$11:H278)-SUM($I$11:I277),""))</f>
      </c>
      <c r="J278" s="35">
        <f t="shared" si="108"/>
        <v>42240.898102867766</v>
      </c>
      <c r="K278" s="35">
        <f t="shared" si="109"/>
        <v>18642.05184831632</v>
      </c>
      <c r="L278" s="33">
        <f t="shared" si="113"/>
        <v>30750.813973874923</v>
      </c>
      <c r="M278" s="33">
        <f t="shared" si="110"/>
        <v>5707.32731704569</v>
      </c>
    </row>
    <row r="279" spans="1:13" ht="12.75">
      <c r="A279" s="7">
        <f t="shared" si="111"/>
        <v>46904</v>
      </c>
      <c r="B279" s="23">
        <f t="shared" si="103"/>
        <v>269</v>
      </c>
      <c r="C279" s="30">
        <f t="shared" si="104"/>
        <v>227.1751863850151</v>
      </c>
      <c r="D279" s="30"/>
      <c r="E279" s="30">
        <f t="shared" si="105"/>
        <v>52.98290126403073</v>
      </c>
      <c r="F279" s="29">
        <f t="shared" si="112"/>
        <v>174.19228512098437</v>
      </c>
      <c r="G279" s="30">
        <f t="shared" si="106"/>
        <v>6183.755866562703</v>
      </c>
      <c r="H279" s="25">
        <f t="shared" si="107"/>
        <v>13.245725316007682</v>
      </c>
      <c r="I279" s="33">
        <f>IF(G278&lt;0.5,"",IF(OR(YEAR(A279)&lt;YEAR(A280),G279&lt;0.5),SUM($H$11:H279)-SUM($I$11:I278),""))</f>
      </c>
      <c r="J279" s="35">
        <f t="shared" si="108"/>
        <v>42293.8810041318</v>
      </c>
      <c r="K279" s="35">
        <f t="shared" si="109"/>
        <v>18816.244133437307</v>
      </c>
      <c r="L279" s="33">
        <f t="shared" si="113"/>
        <v>30798.33222229654</v>
      </c>
      <c r="M279" s="33">
        <f t="shared" si="110"/>
        <v>5707.32731704569</v>
      </c>
    </row>
    <row r="280" spans="1:13" ht="12.75">
      <c r="A280" s="7">
        <f t="shared" si="111"/>
        <v>46934</v>
      </c>
      <c r="B280" s="23">
        <f t="shared" si="103"/>
        <v>270</v>
      </c>
      <c r="C280" s="30">
        <f t="shared" si="104"/>
        <v>227.1751863850151</v>
      </c>
      <c r="D280" s="30"/>
      <c r="E280" s="30">
        <f t="shared" si="105"/>
        <v>51.531298888022526</v>
      </c>
      <c r="F280" s="29">
        <f t="shared" si="112"/>
        <v>175.6438874969926</v>
      </c>
      <c r="G280" s="30">
        <f t="shared" si="106"/>
        <v>6008.11197906571</v>
      </c>
      <c r="H280" s="25">
        <f t="shared" si="107"/>
        <v>12.882824722005632</v>
      </c>
      <c r="I280" s="33">
        <f>IF(G279&lt;0.5,"",IF(OR(YEAR(A280)&lt;YEAR(A281),G280&lt;0.5),SUM($H$11:H280)-SUM($I$11:I279),""))</f>
      </c>
      <c r="J280" s="35">
        <f t="shared" si="108"/>
        <v>42345.412303019824</v>
      </c>
      <c r="K280" s="35">
        <f t="shared" si="109"/>
        <v>18991.8880209343</v>
      </c>
      <c r="L280" s="33">
        <f t="shared" si="113"/>
        <v>30845.574888498646</v>
      </c>
      <c r="M280" s="33">
        <f t="shared" si="110"/>
        <v>5707.32731704569</v>
      </c>
    </row>
    <row r="281" spans="1:13" ht="12.75">
      <c r="A281" s="7">
        <f t="shared" si="111"/>
        <v>46965</v>
      </c>
      <c r="B281" s="23">
        <f t="shared" si="103"/>
        <v>271</v>
      </c>
      <c r="C281" s="30">
        <f t="shared" si="104"/>
        <v>227.1751863850151</v>
      </c>
      <c r="D281" s="30"/>
      <c r="E281" s="30">
        <f t="shared" si="105"/>
        <v>50.06759982554759</v>
      </c>
      <c r="F281" s="29">
        <f t="shared" si="112"/>
        <v>177.1075865594675</v>
      </c>
      <c r="G281" s="30">
        <f t="shared" si="106"/>
        <v>5831.004392506243</v>
      </c>
      <c r="H281" s="25">
        <f t="shared" si="107"/>
        <v>12.516899956386897</v>
      </c>
      <c r="I281" s="33">
        <f>IF(G280&lt;0.5,"",IF(OR(YEAR(A281)&lt;YEAR(A282),G281&lt;0.5),SUM($H$11:H281)-SUM($I$11:I280),""))</f>
      </c>
      <c r="J281" s="35">
        <f t="shared" si="108"/>
        <v>42395.47990284537</v>
      </c>
      <c r="K281" s="35">
        <f t="shared" si="109"/>
        <v>19168.99560749377</v>
      </c>
      <c r="L281" s="33">
        <f t="shared" si="113"/>
        <v>30892.54357072112</v>
      </c>
      <c r="M281" s="33">
        <f t="shared" si="110"/>
        <v>5707.32731704569</v>
      </c>
    </row>
    <row r="282" spans="1:13" ht="12.75">
      <c r="A282" s="7">
        <f t="shared" si="111"/>
        <v>46996</v>
      </c>
      <c r="B282" s="23">
        <f t="shared" si="103"/>
        <v>272</v>
      </c>
      <c r="C282" s="30">
        <f t="shared" si="104"/>
        <v>227.1751863850151</v>
      </c>
      <c r="D282" s="30"/>
      <c r="E282" s="30">
        <f t="shared" si="105"/>
        <v>48.591703270885354</v>
      </c>
      <c r="F282" s="29">
        <f t="shared" si="112"/>
        <v>178.58348311412976</v>
      </c>
      <c r="G282" s="30">
        <f t="shared" si="106"/>
        <v>5652.420909392113</v>
      </c>
      <c r="H282" s="25">
        <f t="shared" si="107"/>
        <v>12.147925817721339</v>
      </c>
      <c r="I282" s="33">
        <f>IF(G281&lt;0.5,"",IF(OR(YEAR(A282)&lt;YEAR(A283),G282&lt;0.5),SUM($H$11:H282)-SUM($I$11:I281),""))</f>
      </c>
      <c r="J282" s="35">
        <f t="shared" si="108"/>
        <v>42444.07160611625</v>
      </c>
      <c r="K282" s="35">
        <f t="shared" si="109"/>
        <v>19347.5790906079</v>
      </c>
      <c r="L282" s="33">
        <f t="shared" si="113"/>
        <v>30939.23985793485</v>
      </c>
      <c r="M282" s="33">
        <f t="shared" si="110"/>
        <v>5707.32731704569</v>
      </c>
    </row>
    <row r="283" spans="1:13" ht="12.75">
      <c r="A283" s="7">
        <f t="shared" si="111"/>
        <v>47026</v>
      </c>
      <c r="B283" s="23">
        <f t="shared" si="103"/>
        <v>273</v>
      </c>
      <c r="C283" s="30">
        <f t="shared" si="104"/>
        <v>227.1751863850151</v>
      </c>
      <c r="D283" s="30"/>
      <c r="E283" s="30">
        <f t="shared" si="105"/>
        <v>47.1035075782676</v>
      </c>
      <c r="F283" s="29">
        <f t="shared" si="112"/>
        <v>180.0716788067475</v>
      </c>
      <c r="G283" s="30">
        <f t="shared" si="106"/>
        <v>5472.349230585365</v>
      </c>
      <c r="H283" s="25">
        <f t="shared" si="107"/>
        <v>11.7758768945669</v>
      </c>
      <c r="I283" s="33">
        <f>IF(G282&lt;0.5,"",IF(OR(YEAR(A283)&lt;YEAR(A284),G283&lt;0.5),SUM($H$11:H283)-SUM($I$11:I282),""))</f>
      </c>
      <c r="J283" s="35">
        <f t="shared" si="108"/>
        <v>42491.175113694524</v>
      </c>
      <c r="K283" s="35">
        <f t="shared" si="109"/>
        <v>19527.650769414646</v>
      </c>
      <c r="L283" s="33">
        <f t="shared" si="113"/>
        <v>30985.665329895473</v>
      </c>
      <c r="M283" s="33">
        <f t="shared" si="110"/>
        <v>5707.32731704569</v>
      </c>
    </row>
    <row r="284" spans="1:13" ht="12.75">
      <c r="A284" s="7">
        <f t="shared" si="111"/>
        <v>47057</v>
      </c>
      <c r="B284" s="23">
        <f t="shared" si="103"/>
        <v>274</v>
      </c>
      <c r="C284" s="30">
        <f t="shared" si="104"/>
        <v>227.1751863850151</v>
      </c>
      <c r="D284" s="30"/>
      <c r="E284" s="30">
        <f t="shared" si="105"/>
        <v>45.60291025487804</v>
      </c>
      <c r="F284" s="29">
        <f t="shared" si="112"/>
        <v>181.57227613013708</v>
      </c>
      <c r="G284" s="30">
        <f t="shared" si="106"/>
        <v>5290.776954455228</v>
      </c>
      <c r="H284" s="25">
        <f t="shared" si="107"/>
        <v>11.40072756371951</v>
      </c>
      <c r="I284" s="33">
        <f>IF(G283&lt;0.5,"",IF(OR(YEAR(A284)&lt;YEAR(A285),G284&lt;0.5),SUM($H$11:H284)-SUM($I$11:I283),""))</f>
      </c>
      <c r="J284" s="35">
        <f t="shared" si="108"/>
        <v>42536.7780239494</v>
      </c>
      <c r="K284" s="35">
        <f t="shared" si="109"/>
        <v>19709.223045544783</v>
      </c>
      <c r="L284" s="33">
        <f t="shared" si="113"/>
        <v>31031.82155719684</v>
      </c>
      <c r="M284" s="33">
        <f t="shared" si="110"/>
        <v>5707.32731704569</v>
      </c>
    </row>
    <row r="285" spans="1:13" ht="12.75">
      <c r="A285" s="7">
        <f t="shared" si="111"/>
        <v>47087</v>
      </c>
      <c r="B285" s="23">
        <f aca="true" t="shared" si="114" ref="B285:B308">B284+1</f>
        <v>275</v>
      </c>
      <c r="C285" s="30">
        <f aca="true" t="shared" si="115" ref="C285:C308">IF(G284&gt;0.5,C284,"")</f>
        <v>227.1751863850151</v>
      </c>
      <c r="D285" s="30"/>
      <c r="E285" s="30">
        <f aca="true" t="shared" si="116" ref="E285:E308">IF(G284&gt;0.5,$J$3*G284,"")</f>
        <v>44.08980795379357</v>
      </c>
      <c r="F285" s="29">
        <f t="shared" si="112"/>
        <v>183.08537843122156</v>
      </c>
      <c r="G285" s="30">
        <f aca="true" t="shared" si="117" ref="G285:G308">IF(G284&gt;0.5,G284-F285,0)</f>
        <v>5107.691576024007</v>
      </c>
      <c r="H285" s="25">
        <f aca="true" t="shared" si="118" ref="H285:H308">IF(G284&gt;0.5,E285*$J$5,"")</f>
        <v>11.022451988448392</v>
      </c>
      <c r="I285" s="33">
        <f>IF(G284&lt;0.5,"",IF(OR(YEAR(A285)&lt;YEAR(A286),G285&lt;0.5),SUM($H$11:H285)-SUM($I$11:I284),""))</f>
      </c>
      <c r="J285" s="35">
        <f aca="true" t="shared" si="119" ref="J285:J308">IF(G284&gt;0.5,J284+E285,"")</f>
        <v>42580.8678319032</v>
      </c>
      <c r="K285" s="35">
        <f aca="true" t="shared" si="120" ref="K285:K308">IF(G284&gt;0.5,K284+F285,"")</f>
        <v>19892.308423976003</v>
      </c>
      <c r="L285" s="33">
        <f t="shared" si="113"/>
        <v>31077.71010132413</v>
      </c>
      <c r="M285" s="33">
        <f aca="true" t="shared" si="121" ref="M285:M308">IF(G284&lt;0.5,"",IF(I285="",M284,I285/(1+$J$4)^B285+M284))</f>
        <v>5707.32731704569</v>
      </c>
    </row>
    <row r="286" spans="1:13" ht="12.75">
      <c r="A286" s="7">
        <f t="shared" si="111"/>
        <v>47118</v>
      </c>
      <c r="B286" s="23">
        <f t="shared" si="114"/>
        <v>276</v>
      </c>
      <c r="C286" s="30">
        <f t="shared" si="115"/>
        <v>227.1751863850151</v>
      </c>
      <c r="D286" s="30"/>
      <c r="E286" s="30">
        <f t="shared" si="116"/>
        <v>42.56409646686673</v>
      </c>
      <c r="F286" s="29">
        <f t="shared" si="112"/>
        <v>184.61108991814837</v>
      </c>
      <c r="G286" s="30">
        <f t="shared" si="117"/>
        <v>4923.080486105859</v>
      </c>
      <c r="H286" s="25">
        <f t="shared" si="118"/>
        <v>10.641024116716682</v>
      </c>
      <c r="I286" s="33">
        <f>IF(G285&lt;0.5,"",IF(OR(YEAR(A286)&lt;YEAR(A287),G286&lt;0.5),SUM($H$11:H286)-SUM($I$11:I285),""))</f>
        <v>152.1857505819571</v>
      </c>
      <c r="J286" s="35">
        <f t="shared" si="119"/>
        <v>42623.43192837006</v>
      </c>
      <c r="K286" s="35">
        <f t="shared" si="120"/>
        <v>20076.91951389415</v>
      </c>
      <c r="L286" s="33">
        <f t="shared" si="113"/>
        <v>31123.33251470669</v>
      </c>
      <c r="M286" s="33">
        <f t="shared" si="121"/>
        <v>5737.8899913168925</v>
      </c>
    </row>
    <row r="287" spans="1:13" ht="12.75">
      <c r="A287" s="7">
        <f t="shared" si="111"/>
        <v>47149</v>
      </c>
      <c r="B287" s="23">
        <f t="shared" si="114"/>
        <v>277</v>
      </c>
      <c r="C287" s="30">
        <f t="shared" si="115"/>
        <v>227.1751863850151</v>
      </c>
      <c r="D287" s="30"/>
      <c r="E287" s="30">
        <f t="shared" si="116"/>
        <v>41.02567071754882</v>
      </c>
      <c r="F287" s="29">
        <f t="shared" si="112"/>
        <v>186.1495156674663</v>
      </c>
      <c r="G287" s="30">
        <f t="shared" si="117"/>
        <v>4736.930970438392</v>
      </c>
      <c r="H287" s="25">
        <f t="shared" si="118"/>
        <v>10.256417679387205</v>
      </c>
      <c r="I287" s="33">
        <f>IF(G286&lt;0.5,"",IF(OR(YEAR(A287)&lt;YEAR(A288),G287&lt;0.5),SUM($H$11:H287)-SUM($I$11:I286),""))</f>
      </c>
      <c r="J287" s="35">
        <f t="shared" si="119"/>
        <v>42664.45759908761</v>
      </c>
      <c r="K287" s="35">
        <f t="shared" si="120"/>
        <v>20263.069029561615</v>
      </c>
      <c r="L287" s="33">
        <f t="shared" si="113"/>
        <v>31168.690340770543</v>
      </c>
      <c r="M287" s="33">
        <f t="shared" si="121"/>
        <v>5737.8899913168925</v>
      </c>
    </row>
    <row r="288" spans="1:13" ht="12.75">
      <c r="A288" s="7">
        <f t="shared" si="111"/>
        <v>47177</v>
      </c>
      <c r="B288" s="23">
        <f t="shared" si="114"/>
        <v>278</v>
      </c>
      <c r="C288" s="30">
        <f t="shared" si="115"/>
        <v>227.1751863850151</v>
      </c>
      <c r="D288" s="30"/>
      <c r="E288" s="30">
        <f t="shared" si="116"/>
        <v>39.47442475365327</v>
      </c>
      <c r="F288" s="29">
        <f t="shared" si="112"/>
        <v>187.70076163136184</v>
      </c>
      <c r="G288" s="30">
        <f t="shared" si="117"/>
        <v>4549.23020880703</v>
      </c>
      <c r="H288" s="25">
        <f t="shared" si="118"/>
        <v>9.868606188413317</v>
      </c>
      <c r="I288" s="33">
        <f>IF(G287&lt;0.5,"",IF(OR(YEAR(A288)&lt;YEAR(A289),G288&lt;0.5),SUM($H$11:H288)-SUM($I$11:I287),""))</f>
      </c>
      <c r="J288" s="35">
        <f t="shared" si="119"/>
        <v>42703.93202384126</v>
      </c>
      <c r="K288" s="35">
        <f t="shared" si="120"/>
        <v>20450.769791192975</v>
      </c>
      <c r="L288" s="33">
        <f t="shared" si="113"/>
        <v>31213.785113990612</v>
      </c>
      <c r="M288" s="33">
        <f t="shared" si="121"/>
        <v>5737.8899913168925</v>
      </c>
    </row>
    <row r="289" spans="1:13" ht="12.75">
      <c r="A289" s="7">
        <f t="shared" si="111"/>
        <v>47208</v>
      </c>
      <c r="B289" s="23">
        <f t="shared" si="114"/>
        <v>279</v>
      </c>
      <c r="C289" s="30">
        <f t="shared" si="115"/>
        <v>227.1751863850151</v>
      </c>
      <c r="D289" s="30"/>
      <c r="E289" s="30">
        <f t="shared" si="116"/>
        <v>37.910251740058584</v>
      </c>
      <c r="F289" s="29">
        <f t="shared" si="112"/>
        <v>189.26493464495653</v>
      </c>
      <c r="G289" s="30">
        <f t="shared" si="117"/>
        <v>4359.965274162074</v>
      </c>
      <c r="H289" s="25">
        <f t="shared" si="118"/>
        <v>9.477562935014646</v>
      </c>
      <c r="I289" s="33">
        <f>IF(G288&lt;0.5,"",IF(OR(YEAR(A289)&lt;YEAR(A290),G289&lt;0.5),SUM($H$11:H289)-SUM($I$11:I288),""))</f>
      </c>
      <c r="J289" s="35">
        <f t="shared" si="119"/>
        <v>42741.84227558132</v>
      </c>
      <c r="K289" s="35">
        <f t="shared" si="120"/>
        <v>20640.034725837933</v>
      </c>
      <c r="L289" s="33">
        <f t="shared" si="113"/>
        <v>31258.61835994263</v>
      </c>
      <c r="M289" s="33">
        <f t="shared" si="121"/>
        <v>5737.8899913168925</v>
      </c>
    </row>
    <row r="290" spans="1:13" ht="12.75">
      <c r="A290" s="7">
        <f t="shared" si="111"/>
        <v>47238</v>
      </c>
      <c r="B290" s="23">
        <f t="shared" si="114"/>
        <v>280</v>
      </c>
      <c r="C290" s="30">
        <f t="shared" si="115"/>
        <v>227.1751863850151</v>
      </c>
      <c r="D290" s="30"/>
      <c r="E290" s="30">
        <f t="shared" si="116"/>
        <v>36.33304395135062</v>
      </c>
      <c r="F290" s="29">
        <f t="shared" si="112"/>
        <v>190.8421424336645</v>
      </c>
      <c r="G290" s="30">
        <f t="shared" si="117"/>
        <v>4169.123131728409</v>
      </c>
      <c r="H290" s="25">
        <f t="shared" si="118"/>
        <v>9.083260987837654</v>
      </c>
      <c r="I290" s="33">
        <f>IF(G289&lt;0.5,"",IF(OR(YEAR(A290)&lt;YEAR(A291),G290&lt;0.5),SUM($H$11:H290)-SUM($I$11:I289),""))</f>
      </c>
      <c r="J290" s="35">
        <f t="shared" si="119"/>
        <v>42778.175319532675</v>
      </c>
      <c r="K290" s="35">
        <f t="shared" si="120"/>
        <v>20830.876868271596</v>
      </c>
      <c r="L290" s="33">
        <f t="shared" si="113"/>
        <v>31303.191595354743</v>
      </c>
      <c r="M290" s="33">
        <f t="shared" si="121"/>
        <v>5737.8899913168925</v>
      </c>
    </row>
    <row r="291" spans="1:13" ht="12.75">
      <c r="A291" s="7">
        <f t="shared" si="111"/>
        <v>47269</v>
      </c>
      <c r="B291" s="23">
        <f t="shared" si="114"/>
        <v>281</v>
      </c>
      <c r="C291" s="30">
        <f t="shared" si="115"/>
        <v>227.1751863850151</v>
      </c>
      <c r="D291" s="30"/>
      <c r="E291" s="30">
        <f t="shared" si="116"/>
        <v>34.74269276440341</v>
      </c>
      <c r="F291" s="29">
        <f t="shared" si="112"/>
        <v>192.4324936206117</v>
      </c>
      <c r="G291" s="30">
        <f t="shared" si="117"/>
        <v>3976.6906381077974</v>
      </c>
      <c r="H291" s="25">
        <f t="shared" si="118"/>
        <v>8.685673191100852</v>
      </c>
      <c r="I291" s="33">
        <f>IF(G290&lt;0.5,"",IF(OR(YEAR(A291)&lt;YEAR(A292),G291&lt;0.5),SUM($H$11:H291)-SUM($I$11:I290),""))</f>
      </c>
      <c r="J291" s="35">
        <f t="shared" si="119"/>
        <v>42812.91801229708</v>
      </c>
      <c r="K291" s="35">
        <f t="shared" si="120"/>
        <v>21023.309361892207</v>
      </c>
      <c r="L291" s="33">
        <f t="shared" si="113"/>
        <v>31347.50632815883</v>
      </c>
      <c r="M291" s="33">
        <f t="shared" si="121"/>
        <v>5737.8899913168925</v>
      </c>
    </row>
    <row r="292" spans="1:13" ht="12.75">
      <c r="A292" s="7">
        <f t="shared" si="111"/>
        <v>47299</v>
      </c>
      <c r="B292" s="23">
        <f t="shared" si="114"/>
        <v>282</v>
      </c>
      <c r="C292" s="30">
        <f t="shared" si="115"/>
        <v>227.1751863850151</v>
      </c>
      <c r="D292" s="30"/>
      <c r="E292" s="30">
        <f t="shared" si="116"/>
        <v>33.13908865089831</v>
      </c>
      <c r="F292" s="29">
        <f t="shared" si="112"/>
        <v>194.0360977341168</v>
      </c>
      <c r="G292" s="30">
        <f t="shared" si="117"/>
        <v>3782.6545403736804</v>
      </c>
      <c r="H292" s="25">
        <f t="shared" si="118"/>
        <v>8.284772162724577</v>
      </c>
      <c r="I292" s="33">
        <f>IF(G291&lt;0.5,"",IF(OR(YEAR(A292)&lt;YEAR(A293),G292&lt;0.5),SUM($H$11:H292)-SUM($I$11:I291),""))</f>
      </c>
      <c r="J292" s="35">
        <f t="shared" si="119"/>
        <v>42846.057100947975</v>
      </c>
      <c r="K292" s="35">
        <f t="shared" si="120"/>
        <v>21217.345459626322</v>
      </c>
      <c r="L292" s="33">
        <f t="shared" si="113"/>
        <v>31391.56405754152</v>
      </c>
      <c r="M292" s="33">
        <f t="shared" si="121"/>
        <v>5737.8899913168925</v>
      </c>
    </row>
    <row r="293" spans="1:13" ht="12.75">
      <c r="A293" s="7">
        <f t="shared" si="111"/>
        <v>47330</v>
      </c>
      <c r="B293" s="23">
        <f t="shared" si="114"/>
        <v>283</v>
      </c>
      <c r="C293" s="30">
        <f t="shared" si="115"/>
        <v>227.1751863850151</v>
      </c>
      <c r="D293" s="30"/>
      <c r="E293" s="30">
        <f t="shared" si="116"/>
        <v>31.52212116978067</v>
      </c>
      <c r="F293" s="29">
        <f t="shared" si="112"/>
        <v>195.65306521523445</v>
      </c>
      <c r="G293" s="30">
        <f t="shared" si="117"/>
        <v>3587.001475158446</v>
      </c>
      <c r="H293" s="25">
        <f t="shared" si="118"/>
        <v>7.880530292445168</v>
      </c>
      <c r="I293" s="33">
        <f>IF(G292&lt;0.5,"",IF(OR(YEAR(A293)&lt;YEAR(A294),G293&lt;0.5),SUM($H$11:H293)-SUM($I$11:I292),""))</f>
      </c>
      <c r="J293" s="35">
        <f t="shared" si="119"/>
        <v>42877.579222117754</v>
      </c>
      <c r="K293" s="35">
        <f t="shared" si="120"/>
        <v>21412.998524841558</v>
      </c>
      <c r="L293" s="33">
        <f t="shared" si="113"/>
        <v>31435.366273994896</v>
      </c>
      <c r="M293" s="33">
        <f t="shared" si="121"/>
        <v>5737.8899913168925</v>
      </c>
    </row>
    <row r="294" spans="1:13" ht="12.75">
      <c r="A294" s="7">
        <f t="shared" si="111"/>
        <v>47361</v>
      </c>
      <c r="B294" s="23">
        <f t="shared" si="114"/>
        <v>284</v>
      </c>
      <c r="C294" s="30">
        <f t="shared" si="115"/>
        <v>227.1751863850151</v>
      </c>
      <c r="D294" s="30"/>
      <c r="E294" s="30">
        <f t="shared" si="116"/>
        <v>29.891678959653714</v>
      </c>
      <c r="F294" s="29">
        <f t="shared" si="112"/>
        <v>197.2835074253614</v>
      </c>
      <c r="G294" s="30">
        <f t="shared" si="117"/>
        <v>3389.7179677330846</v>
      </c>
      <c r="H294" s="25">
        <f t="shared" si="118"/>
        <v>7.472919739913428</v>
      </c>
      <c r="I294" s="33">
        <f>IF(G293&lt;0.5,"",IF(OR(YEAR(A294)&lt;YEAR(A295),G294&lt;0.5),SUM($H$11:H294)-SUM($I$11:I293),""))</f>
      </c>
      <c r="J294" s="35">
        <f t="shared" si="119"/>
        <v>42907.47090107741</v>
      </c>
      <c r="K294" s="35">
        <f t="shared" si="120"/>
        <v>21610.282032266918</v>
      </c>
      <c r="L294" s="33">
        <f t="shared" si="113"/>
        <v>31478.914459366937</v>
      </c>
      <c r="M294" s="33">
        <f t="shared" si="121"/>
        <v>5737.8899913168925</v>
      </c>
    </row>
    <row r="295" spans="1:13" ht="12.75">
      <c r="A295" s="7">
        <f t="shared" si="111"/>
        <v>47391</v>
      </c>
      <c r="B295" s="23">
        <f t="shared" si="114"/>
        <v>285</v>
      </c>
      <c r="C295" s="30">
        <f t="shared" si="115"/>
        <v>227.1751863850151</v>
      </c>
      <c r="D295" s="30"/>
      <c r="E295" s="30">
        <f t="shared" si="116"/>
        <v>28.24764973110904</v>
      </c>
      <c r="F295" s="29">
        <f t="shared" si="112"/>
        <v>198.92753665390606</v>
      </c>
      <c r="G295" s="30">
        <f t="shared" si="117"/>
        <v>3190.7904310791787</v>
      </c>
      <c r="H295" s="25">
        <f t="shared" si="118"/>
        <v>7.06191243277726</v>
      </c>
      <c r="I295" s="33">
        <f>IF(G294&lt;0.5,"",IF(OR(YEAR(A295)&lt;YEAR(A296),G295&lt;0.5),SUM($H$11:H295)-SUM($I$11:I294),""))</f>
      </c>
      <c r="J295" s="35">
        <f t="shared" si="119"/>
        <v>42935.71855080852</v>
      </c>
      <c r="K295" s="35">
        <f t="shared" si="120"/>
        <v>21809.209568920825</v>
      </c>
      <c r="L295" s="33">
        <f t="shared" si="113"/>
        <v>31522.210086911633</v>
      </c>
      <c r="M295" s="33">
        <f t="shared" si="121"/>
        <v>5737.8899913168925</v>
      </c>
    </row>
    <row r="296" spans="1:13" ht="12.75">
      <c r="A296" s="7">
        <f t="shared" si="111"/>
        <v>47422</v>
      </c>
      <c r="B296" s="23">
        <f t="shared" si="114"/>
        <v>286</v>
      </c>
      <c r="C296" s="30">
        <f t="shared" si="115"/>
        <v>227.1751863850151</v>
      </c>
      <c r="D296" s="30"/>
      <c r="E296" s="30">
        <f t="shared" si="116"/>
        <v>26.589920258993157</v>
      </c>
      <c r="F296" s="29">
        <f t="shared" si="112"/>
        <v>200.58526612602196</v>
      </c>
      <c r="G296" s="30">
        <f t="shared" si="117"/>
        <v>2990.205164953157</v>
      </c>
      <c r="H296" s="25">
        <f t="shared" si="118"/>
        <v>6.647480064748289</v>
      </c>
      <c r="I296" s="33">
        <f>IF(G295&lt;0.5,"",IF(OR(YEAR(A296)&lt;YEAR(A297),G296&lt;0.5),SUM($H$11:H296)-SUM($I$11:I295),""))</f>
      </c>
      <c r="J296" s="35">
        <f t="shared" si="119"/>
        <v>42962.30847106751</v>
      </c>
      <c r="K296" s="35">
        <f t="shared" si="120"/>
        <v>22009.794835046847</v>
      </c>
      <c r="L296" s="33">
        <f t="shared" si="113"/>
        <v>31565.254621338838</v>
      </c>
      <c r="M296" s="33">
        <f t="shared" si="121"/>
        <v>5737.8899913168925</v>
      </c>
    </row>
    <row r="297" spans="1:13" ht="12.75">
      <c r="A297" s="7">
        <f t="shared" si="111"/>
        <v>47452</v>
      </c>
      <c r="B297" s="23">
        <f t="shared" si="114"/>
        <v>287</v>
      </c>
      <c r="C297" s="30">
        <f t="shared" si="115"/>
        <v>227.1751863850151</v>
      </c>
      <c r="D297" s="30"/>
      <c r="E297" s="30">
        <f t="shared" si="116"/>
        <v>24.91837637460964</v>
      </c>
      <c r="F297" s="29">
        <f t="shared" si="112"/>
        <v>202.25681001040547</v>
      </c>
      <c r="G297" s="30">
        <f t="shared" si="117"/>
        <v>2787.9483549427514</v>
      </c>
      <c r="H297" s="25">
        <f t="shared" si="118"/>
        <v>6.22959409365241</v>
      </c>
      <c r="I297" s="33">
        <f>IF(G296&lt;0.5,"",IF(OR(YEAR(A297)&lt;YEAR(A298),G297&lt;0.5),SUM($H$11:H297)-SUM($I$11:I296),""))</f>
      </c>
      <c r="J297" s="35">
        <f t="shared" si="119"/>
        <v>42987.22684744212</v>
      </c>
      <c r="K297" s="35">
        <f t="shared" si="120"/>
        <v>22212.051645057254</v>
      </c>
      <c r="L297" s="33">
        <f t="shared" si="113"/>
        <v>31608.049518863812</v>
      </c>
      <c r="M297" s="33">
        <f t="shared" si="121"/>
        <v>5737.8899913168925</v>
      </c>
    </row>
    <row r="298" spans="1:13" ht="12.75">
      <c r="A298" s="7">
        <f t="shared" si="111"/>
        <v>47483</v>
      </c>
      <c r="B298" s="23">
        <f t="shared" si="114"/>
        <v>288</v>
      </c>
      <c r="C298" s="30">
        <f t="shared" si="115"/>
        <v>227.1751863850151</v>
      </c>
      <c r="D298" s="30"/>
      <c r="E298" s="30">
        <f t="shared" si="116"/>
        <v>23.23290295785626</v>
      </c>
      <c r="F298" s="29">
        <f t="shared" si="112"/>
        <v>203.94228342715886</v>
      </c>
      <c r="G298" s="30">
        <f t="shared" si="117"/>
        <v>2584.0060715155923</v>
      </c>
      <c r="H298" s="25">
        <f t="shared" si="118"/>
        <v>5.808225739464065</v>
      </c>
      <c r="I298" s="33">
        <f>IF(G297&lt;0.5,"",IF(OR(YEAR(A298)&lt;YEAR(A299),G298&lt;0.5),SUM($H$11:H298)-SUM($I$11:I297),""))</f>
        <v>96.75695550747878</v>
      </c>
      <c r="J298" s="35">
        <f t="shared" si="119"/>
        <v>43010.459750399976</v>
      </c>
      <c r="K298" s="35">
        <f t="shared" si="120"/>
        <v>22415.99392848441</v>
      </c>
      <c r="L298" s="33">
        <f t="shared" si="113"/>
        <v>31650.596227256498</v>
      </c>
      <c r="M298" s="33">
        <f t="shared" si="121"/>
        <v>5756.011204449579</v>
      </c>
    </row>
    <row r="299" spans="1:13" ht="12.75">
      <c r="A299" s="7">
        <f t="shared" si="111"/>
        <v>47514</v>
      </c>
      <c r="B299" s="23">
        <f t="shared" si="114"/>
        <v>289</v>
      </c>
      <c r="C299" s="30">
        <f t="shared" si="115"/>
        <v>227.1751863850151</v>
      </c>
      <c r="D299" s="30"/>
      <c r="E299" s="30">
        <f t="shared" si="116"/>
        <v>21.5333839292966</v>
      </c>
      <c r="F299" s="29">
        <f t="shared" si="112"/>
        <v>205.6418024557185</v>
      </c>
      <c r="G299" s="30">
        <f t="shared" si="117"/>
        <v>2378.364269059874</v>
      </c>
      <c r="H299" s="25">
        <f t="shared" si="118"/>
        <v>5.38334598232415</v>
      </c>
      <c r="I299" s="33">
        <f>IF(G298&lt;0.5,"",IF(OR(YEAR(A299)&lt;YEAR(A300),G299&lt;0.5),SUM($H$11:H299)-SUM($I$11:I298),""))</f>
      </c>
      <c r="J299" s="35">
        <f t="shared" si="119"/>
        <v>43031.99313432927</v>
      </c>
      <c r="K299" s="35">
        <f t="shared" si="120"/>
        <v>22621.63573094013</v>
      </c>
      <c r="L299" s="33">
        <f t="shared" si="113"/>
        <v>31692.896185890484</v>
      </c>
      <c r="M299" s="33">
        <f t="shared" si="121"/>
        <v>5756.011204449579</v>
      </c>
    </row>
    <row r="300" spans="1:13" ht="12.75">
      <c r="A300" s="7">
        <f t="shared" si="111"/>
        <v>47542</v>
      </c>
      <c r="B300" s="23">
        <f t="shared" si="114"/>
        <v>290</v>
      </c>
      <c r="C300" s="30">
        <f t="shared" si="115"/>
        <v>227.1751863850151</v>
      </c>
      <c r="D300" s="30"/>
      <c r="E300" s="30">
        <f t="shared" si="116"/>
        <v>19.819702242165615</v>
      </c>
      <c r="F300" s="29">
        <f t="shared" si="112"/>
        <v>207.3554841428495</v>
      </c>
      <c r="G300" s="30">
        <f t="shared" si="117"/>
        <v>2171.0087849170245</v>
      </c>
      <c r="H300" s="25">
        <f t="shared" si="118"/>
        <v>4.954925560541404</v>
      </c>
      <c r="I300" s="33">
        <f>IF(G299&lt;0.5,"",IF(OR(YEAR(A300)&lt;YEAR(A301),G300&lt;0.5),SUM($H$11:H300)-SUM($I$11:I299),""))</f>
      </c>
      <c r="J300" s="35">
        <f t="shared" si="119"/>
        <v>43051.81283657144</v>
      </c>
      <c r="K300" s="35">
        <f t="shared" si="120"/>
        <v>22828.991215082977</v>
      </c>
      <c r="L300" s="33">
        <f t="shared" si="113"/>
        <v>31734.950825791715</v>
      </c>
      <c r="M300" s="33">
        <f t="shared" si="121"/>
        <v>5756.011204449579</v>
      </c>
    </row>
    <row r="301" spans="1:13" ht="12.75">
      <c r="A301" s="7">
        <f t="shared" si="111"/>
        <v>47573</v>
      </c>
      <c r="B301" s="23">
        <f t="shared" si="114"/>
        <v>291</v>
      </c>
      <c r="C301" s="30">
        <f t="shared" si="115"/>
        <v>227.1751863850151</v>
      </c>
      <c r="D301" s="30"/>
      <c r="E301" s="30">
        <f t="shared" si="116"/>
        <v>18.091739874308537</v>
      </c>
      <c r="F301" s="29">
        <f t="shared" si="112"/>
        <v>209.08344651070658</v>
      </c>
      <c r="G301" s="30">
        <f t="shared" si="117"/>
        <v>1961.925338406318</v>
      </c>
      <c r="H301" s="25">
        <f t="shared" si="118"/>
        <v>4.522934968577134</v>
      </c>
      <c r="I301" s="33">
        <f>IF(G300&lt;0.5,"",IF(OR(YEAR(A301)&lt;YEAR(A302),G301&lt;0.5),SUM($H$11:H301)-SUM($I$11:I300),""))</f>
      </c>
      <c r="J301" s="35">
        <f t="shared" si="119"/>
        <v>43069.90457644575</v>
      </c>
      <c r="K301" s="35">
        <f t="shared" si="120"/>
        <v>23038.074661593684</v>
      </c>
      <c r="L301" s="33">
        <f t="shared" si="113"/>
        <v>31776.76156968689</v>
      </c>
      <c r="M301" s="33">
        <f t="shared" si="121"/>
        <v>5756.011204449579</v>
      </c>
    </row>
    <row r="302" spans="1:13" ht="12.75">
      <c r="A302" s="7">
        <f t="shared" si="111"/>
        <v>47603</v>
      </c>
      <c r="B302" s="23">
        <f t="shared" si="114"/>
        <v>292</v>
      </c>
      <c r="C302" s="30">
        <f t="shared" si="115"/>
        <v>227.1751863850151</v>
      </c>
      <c r="D302" s="30"/>
      <c r="E302" s="30">
        <f t="shared" si="116"/>
        <v>16.34937782005265</v>
      </c>
      <c r="F302" s="29">
        <f t="shared" si="112"/>
        <v>210.82580856496247</v>
      </c>
      <c r="G302" s="30">
        <f t="shared" si="117"/>
        <v>1751.0995298413554</v>
      </c>
      <c r="H302" s="25">
        <f t="shared" si="118"/>
        <v>4.087344455013162</v>
      </c>
      <c r="I302" s="33">
        <f>IF(G301&lt;0.5,"",IF(OR(YEAR(A302)&lt;YEAR(A303),G302&lt;0.5),SUM($H$11:H302)-SUM($I$11:I301),""))</f>
      </c>
      <c r="J302" s="35">
        <f t="shared" si="119"/>
        <v>43086.2539542658</v>
      </c>
      <c r="K302" s="35">
        <f t="shared" si="120"/>
        <v>23248.900470158645</v>
      </c>
      <c r="L302" s="33">
        <f t="shared" si="113"/>
        <v>31818.329832051604</v>
      </c>
      <c r="M302" s="33">
        <f t="shared" si="121"/>
        <v>5756.011204449579</v>
      </c>
    </row>
    <row r="303" spans="1:13" ht="12.75">
      <c r="A303" s="7">
        <f t="shared" si="111"/>
        <v>47634</v>
      </c>
      <c r="B303" s="23">
        <f t="shared" si="114"/>
        <v>293</v>
      </c>
      <c r="C303" s="30">
        <f t="shared" si="115"/>
        <v>227.1751863850151</v>
      </c>
      <c r="D303" s="30"/>
      <c r="E303" s="30">
        <f t="shared" si="116"/>
        <v>14.592496082011294</v>
      </c>
      <c r="F303" s="29">
        <f t="shared" si="112"/>
        <v>212.5826903030038</v>
      </c>
      <c r="G303" s="30">
        <f t="shared" si="117"/>
        <v>1538.5168395383516</v>
      </c>
      <c r="H303" s="25">
        <f t="shared" si="118"/>
        <v>3.6481240205028236</v>
      </c>
      <c r="I303" s="33">
        <f>IF(G302&lt;0.5,"",IF(OR(YEAR(A303)&lt;YEAR(A304),G303&lt;0.5),SUM($H$11:H303)-SUM($I$11:I302),""))</f>
      </c>
      <c r="J303" s="35">
        <f t="shared" si="119"/>
        <v>43100.84645034781</v>
      </c>
      <c r="K303" s="35">
        <f t="shared" si="120"/>
        <v>23461.48316046165</v>
      </c>
      <c r="L303" s="33">
        <f t="shared" si="113"/>
        <v>31859.657019158196</v>
      </c>
      <c r="M303" s="33">
        <f t="shared" si="121"/>
        <v>5756.011204449579</v>
      </c>
    </row>
    <row r="304" spans="1:13" ht="12.75">
      <c r="A304" s="7">
        <f t="shared" si="111"/>
        <v>47664</v>
      </c>
      <c r="B304" s="23">
        <f t="shared" si="114"/>
        <v>294</v>
      </c>
      <c r="C304" s="30">
        <f t="shared" si="115"/>
        <v>227.1751863850151</v>
      </c>
      <c r="D304" s="30"/>
      <c r="E304" s="30">
        <f t="shared" si="116"/>
        <v>12.820973662819597</v>
      </c>
      <c r="F304" s="29">
        <f t="shared" si="112"/>
        <v>214.3542127221955</v>
      </c>
      <c r="G304" s="30">
        <f t="shared" si="117"/>
        <v>1324.162626816156</v>
      </c>
      <c r="H304" s="25">
        <f t="shared" si="118"/>
        <v>3.2052434157048992</v>
      </c>
      <c r="I304" s="33">
        <f>IF(G303&lt;0.5,"",IF(OR(YEAR(A304)&lt;YEAR(A305),G304&lt;0.5),SUM($H$11:H304)-SUM($I$11:I303),""))</f>
      </c>
      <c r="J304" s="35">
        <f t="shared" si="119"/>
        <v>43113.66742401063</v>
      </c>
      <c r="K304" s="35">
        <f t="shared" si="120"/>
        <v>23675.837373183844</v>
      </c>
      <c r="L304" s="33">
        <f t="shared" si="113"/>
        <v>31900.744529123323</v>
      </c>
      <c r="M304" s="33">
        <f t="shared" si="121"/>
        <v>5756.011204449579</v>
      </c>
    </row>
    <row r="305" spans="1:13" ht="12.75">
      <c r="A305" s="7">
        <f t="shared" si="111"/>
        <v>47695</v>
      </c>
      <c r="B305" s="23">
        <f t="shared" si="114"/>
        <v>295</v>
      </c>
      <c r="C305" s="30">
        <f t="shared" si="115"/>
        <v>227.1751863850151</v>
      </c>
      <c r="D305" s="30"/>
      <c r="E305" s="30">
        <f t="shared" si="116"/>
        <v>11.0346885568013</v>
      </c>
      <c r="F305" s="29">
        <f t="shared" si="112"/>
        <v>216.14049782821382</v>
      </c>
      <c r="G305" s="30">
        <f t="shared" si="117"/>
        <v>1108.0221289879423</v>
      </c>
      <c r="H305" s="25">
        <f t="shared" si="118"/>
        <v>2.758672139200325</v>
      </c>
      <c r="I305" s="33">
        <f>IF(G304&lt;0.5,"",IF(OR(YEAR(A305)&lt;YEAR(A306),G305&lt;0.5),SUM($H$11:H305)-SUM($I$11:I304),""))</f>
      </c>
      <c r="J305" s="35">
        <f t="shared" si="119"/>
        <v>43124.70211256743</v>
      </c>
      <c r="K305" s="35">
        <f t="shared" si="120"/>
        <v>23891.97787101206</v>
      </c>
      <c r="L305" s="33">
        <f t="shared" si="113"/>
        <v>31941.593751955264</v>
      </c>
      <c r="M305" s="33">
        <f t="shared" si="121"/>
        <v>5756.011204449579</v>
      </c>
    </row>
    <row r="306" spans="1:13" ht="12.75">
      <c r="A306" s="7">
        <f t="shared" si="111"/>
        <v>47726</v>
      </c>
      <c r="B306" s="23">
        <f t="shared" si="114"/>
        <v>296</v>
      </c>
      <c r="C306" s="30">
        <f t="shared" si="115"/>
        <v>227.1751863850151</v>
      </c>
      <c r="D306" s="30"/>
      <c r="E306" s="30">
        <f t="shared" si="116"/>
        <v>9.233517741566185</v>
      </c>
      <c r="F306" s="29">
        <f t="shared" si="112"/>
        <v>217.94166864344893</v>
      </c>
      <c r="G306" s="30">
        <f t="shared" si="117"/>
        <v>890.0804603444934</v>
      </c>
      <c r="H306" s="25">
        <f t="shared" si="118"/>
        <v>2.3083794353915463</v>
      </c>
      <c r="I306" s="33">
        <f>IF(G305&lt;0.5,"",IF(OR(YEAR(A306)&lt;YEAR(A307),G306&lt;0.5),SUM($H$11:H306)-SUM($I$11:I305),""))</f>
      </c>
      <c r="J306" s="35">
        <f t="shared" si="119"/>
        <v>43133.935630308995</v>
      </c>
      <c r="K306" s="35">
        <f t="shared" si="120"/>
        <v>24109.919539655508</v>
      </c>
      <c r="L306" s="33">
        <f t="shared" si="113"/>
        <v>31982.20606960094</v>
      </c>
      <c r="M306" s="33">
        <f t="shared" si="121"/>
        <v>5756.011204449579</v>
      </c>
    </row>
    <row r="307" spans="1:13" ht="12.75">
      <c r="A307" s="7">
        <f t="shared" si="111"/>
        <v>47756</v>
      </c>
      <c r="B307" s="23">
        <f t="shared" si="114"/>
        <v>297</v>
      </c>
      <c r="C307" s="30">
        <f t="shared" si="115"/>
        <v>227.1751863850151</v>
      </c>
      <c r="D307" s="30"/>
      <c r="E307" s="30">
        <f t="shared" si="116"/>
        <v>7.417337169537445</v>
      </c>
      <c r="F307" s="29">
        <f t="shared" si="112"/>
        <v>219.75784921547768</v>
      </c>
      <c r="G307" s="30">
        <f t="shared" si="117"/>
        <v>670.3226111290157</v>
      </c>
      <c r="H307" s="25">
        <f t="shared" si="118"/>
        <v>1.8543342923843613</v>
      </c>
      <c r="I307" s="33">
        <f>IF(G306&lt;0.5,"",IF(OR(YEAR(A307)&lt;YEAR(A308),G307&lt;0.5),SUM($H$11:H307)-SUM($I$11:I306),""))</f>
      </c>
      <c r="J307" s="35">
        <f t="shared" si="119"/>
        <v>43141.35296747853</v>
      </c>
      <c r="K307" s="35">
        <f t="shared" si="120"/>
        <v>24329.677388870987</v>
      </c>
      <c r="L307" s="33">
        <f t="shared" si="113"/>
        <v>32022.582855992663</v>
      </c>
      <c r="M307" s="33">
        <f t="shared" si="121"/>
        <v>5756.011204449579</v>
      </c>
    </row>
    <row r="308" spans="1:13" ht="12.75">
      <c r="A308" s="7">
        <f t="shared" si="111"/>
        <v>47787</v>
      </c>
      <c r="B308" s="23">
        <f t="shared" si="114"/>
        <v>298</v>
      </c>
      <c r="C308" s="30">
        <f t="shared" si="115"/>
        <v>227.1751863850151</v>
      </c>
      <c r="D308" s="30"/>
      <c r="E308" s="30">
        <f t="shared" si="116"/>
        <v>5.586021759408465</v>
      </c>
      <c r="F308" s="29">
        <f t="shared" si="112"/>
        <v>221.58916462560666</v>
      </c>
      <c r="G308" s="30">
        <f t="shared" si="117"/>
        <v>448.7334465034091</v>
      </c>
      <c r="H308" s="25">
        <f t="shared" si="118"/>
        <v>1.3965054398521162</v>
      </c>
      <c r="I308" s="33">
        <f>IF(G307&lt;0.5,"",IF(OR(YEAR(A308)&lt;YEAR(A309),G308&lt;0.5),SUM($H$11:H308)-SUM($I$11:I307),""))</f>
      </c>
      <c r="J308" s="35">
        <f t="shared" si="119"/>
        <v>43146.93898923794</v>
      </c>
      <c r="K308" s="35">
        <f t="shared" si="120"/>
        <v>24551.266553496593</v>
      </c>
      <c r="L308" s="33">
        <f t="shared" si="113"/>
        <v>32062.725477094627</v>
      </c>
      <c r="M308" s="33">
        <f t="shared" si="121"/>
        <v>5756.011204449579</v>
      </c>
    </row>
    <row r="309" spans="1:13" ht="12.75">
      <c r="A309" s="7">
        <f t="shared" si="111"/>
        <v>47817</v>
      </c>
      <c r="B309" s="23">
        <f aca="true" t="shared" si="122" ref="B309:B370">B308+1</f>
        <v>299</v>
      </c>
      <c r="C309" s="30">
        <f aca="true" t="shared" si="123" ref="C309:C370">IF(G308&gt;0.5,C308,"")</f>
        <v>227.1751863850151</v>
      </c>
      <c r="D309" s="30"/>
      <c r="E309" s="30">
        <f aca="true" t="shared" si="124" ref="E309:E370">IF(G308&gt;0.5,$J$3*G308,"")</f>
        <v>3.739445387528409</v>
      </c>
      <c r="F309" s="29">
        <f t="shared" si="112"/>
        <v>223.4357409974867</v>
      </c>
      <c r="G309" s="30">
        <f aca="true" t="shared" si="125" ref="G309:G370">IF(G308&gt;0.5,G308-F309,0)</f>
        <v>225.29770550592238</v>
      </c>
      <c r="H309" s="25">
        <f aca="true" t="shared" si="126" ref="H309:H370">IF(G308&gt;0.5,E309*$J$5,"")</f>
        <v>0.9348613468821022</v>
      </c>
      <c r="I309" s="33">
        <f>IF(G308&lt;0.5,"",IF(OR(YEAR(A309)&lt;YEAR(A310),G309&lt;0.5),SUM($H$11:H309)-SUM($I$11:I308),""))</f>
      </c>
      <c r="J309" s="35">
        <f aca="true" t="shared" si="127" ref="J309:J370">IF(G308&gt;0.5,J308+E309,"")</f>
        <v>43150.67843462547</v>
      </c>
      <c r="K309" s="35">
        <f aca="true" t="shared" si="128" ref="K309:K370">IF(G308&gt;0.5,K308+F309,"")</f>
        <v>24774.70229449408</v>
      </c>
      <c r="L309" s="33">
        <f t="shared" si="113"/>
        <v>32102.635290949107</v>
      </c>
      <c r="M309" s="33">
        <f aca="true" t="shared" si="129" ref="M309:M370">IF(G308&lt;0.5,"",IF(I309="",M308,I309/(1+$J$4)^B309+M308))</f>
        <v>5756.011204449579</v>
      </c>
    </row>
    <row r="310" spans="1:13" ht="12.75">
      <c r="A310" s="7">
        <f t="shared" si="111"/>
        <v>47848</v>
      </c>
      <c r="B310" s="23">
        <f t="shared" si="122"/>
        <v>300</v>
      </c>
      <c r="C310" s="30">
        <f t="shared" si="123"/>
        <v>227.1751863850151</v>
      </c>
      <c r="D310" s="30"/>
      <c r="E310" s="30">
        <f t="shared" si="124"/>
        <v>1.8774808792160198</v>
      </c>
      <c r="F310" s="29">
        <f t="shared" si="112"/>
        <v>225.2977055057991</v>
      </c>
      <c r="G310" s="30">
        <f t="shared" si="125"/>
        <v>1.2329337550909258E-10</v>
      </c>
      <c r="H310" s="25">
        <f t="shared" si="126"/>
        <v>0.46937021980400495</v>
      </c>
      <c r="I310" s="33">
        <f>IF(G309&lt;0.5,"",IF(OR(YEAR(A310)&lt;YEAR(A311),G310&lt;0.5),SUM($H$11:H310)-SUM($I$11:I309),""))</f>
        <v>35.52404127617774</v>
      </c>
      <c r="J310" s="35">
        <f t="shared" si="127"/>
        <v>43152.55591550469</v>
      </c>
      <c r="K310" s="35">
        <f t="shared" si="128"/>
        <v>24999.99999999988</v>
      </c>
      <c r="L310" s="33">
        <f t="shared" si="113"/>
        <v>32142.313647722407</v>
      </c>
      <c r="M310" s="33">
        <f t="shared" si="129"/>
        <v>5762.2158239162345</v>
      </c>
    </row>
    <row r="311" spans="1:13" ht="12.75">
      <c r="A311" s="7">
        <f t="shared" si="111"/>
        <v>47879</v>
      </c>
      <c r="B311" s="23">
        <f t="shared" si="122"/>
        <v>301</v>
      </c>
      <c r="C311" s="30">
        <f t="shared" si="123"/>
      </c>
      <c r="D311" s="30"/>
      <c r="E311" s="30">
        <f t="shared" si="124"/>
      </c>
      <c r="F311" s="29">
        <f t="shared" si="112"/>
      </c>
      <c r="G311" s="30">
        <f t="shared" si="125"/>
        <v>0</v>
      </c>
      <c r="H311" s="25">
        <f t="shared" si="126"/>
      </c>
      <c r="I311" s="33">
        <f>IF(G310&lt;0.5,"",IF(OR(YEAR(A311)&lt;YEAR(A312),G311&lt;0.5),SUM($H$11:H311)-SUM($I$11:I310),""))</f>
      </c>
      <c r="J311" s="35">
        <f t="shared" si="127"/>
      </c>
      <c r="K311" s="35">
        <f t="shared" si="128"/>
      </c>
      <c r="L311" s="33">
        <f t="shared" si="113"/>
      </c>
      <c r="M311" s="33">
        <f t="shared" si="129"/>
      </c>
    </row>
    <row r="312" spans="1:13" ht="12.75">
      <c r="A312" s="7">
        <f t="shared" si="111"/>
        <v>47907</v>
      </c>
      <c r="B312" s="23">
        <f t="shared" si="122"/>
        <v>302</v>
      </c>
      <c r="C312" s="30">
        <f t="shared" si="123"/>
      </c>
      <c r="D312" s="30"/>
      <c r="E312" s="30">
        <f t="shared" si="124"/>
      </c>
      <c r="F312" s="29">
        <f t="shared" si="112"/>
      </c>
      <c r="G312" s="30">
        <f t="shared" si="125"/>
        <v>0</v>
      </c>
      <c r="H312" s="25">
        <f t="shared" si="126"/>
      </c>
      <c r="I312" s="33">
        <f>IF(G311&lt;0.5,"",IF(OR(YEAR(A312)&lt;YEAR(A313),G312&lt;0.5),SUM($H$11:H312)-SUM($I$11:I311),""))</f>
      </c>
      <c r="J312" s="35">
        <f t="shared" si="127"/>
      </c>
      <c r="K312" s="35">
        <f t="shared" si="128"/>
      </c>
      <c r="L312" s="33">
        <f t="shared" si="113"/>
      </c>
      <c r="M312" s="33">
        <f t="shared" si="129"/>
      </c>
    </row>
    <row r="313" spans="1:13" ht="12.75">
      <c r="A313" s="7">
        <f t="shared" si="111"/>
        <v>47938</v>
      </c>
      <c r="B313" s="23">
        <f t="shared" si="122"/>
        <v>303</v>
      </c>
      <c r="C313" s="30">
        <f t="shared" si="123"/>
      </c>
      <c r="D313" s="30"/>
      <c r="E313" s="30">
        <f t="shared" si="124"/>
      </c>
      <c r="F313" s="29">
        <f t="shared" si="112"/>
      </c>
      <c r="G313" s="30">
        <f t="shared" si="125"/>
        <v>0</v>
      </c>
      <c r="H313" s="25">
        <f t="shared" si="126"/>
      </c>
      <c r="I313" s="33">
        <f>IF(G312&lt;0.5,"",IF(OR(YEAR(A313)&lt;YEAR(A314),G313&lt;0.5),SUM($H$11:H313)-SUM($I$11:I312),""))</f>
      </c>
      <c r="J313" s="35">
        <f t="shared" si="127"/>
      </c>
      <c r="K313" s="35">
        <f t="shared" si="128"/>
      </c>
      <c r="L313" s="33">
        <f t="shared" si="113"/>
      </c>
      <c r="M313" s="33">
        <f t="shared" si="129"/>
      </c>
    </row>
    <row r="314" spans="1:13" ht="12.75">
      <c r="A314" s="7">
        <f t="shared" si="111"/>
        <v>47968</v>
      </c>
      <c r="B314" s="23">
        <f t="shared" si="122"/>
        <v>304</v>
      </c>
      <c r="C314" s="30">
        <f t="shared" si="123"/>
      </c>
      <c r="D314" s="30"/>
      <c r="E314" s="30">
        <f t="shared" si="124"/>
      </c>
      <c r="F314" s="29">
        <f t="shared" si="112"/>
      </c>
      <c r="G314" s="30">
        <f t="shared" si="125"/>
        <v>0</v>
      </c>
      <c r="H314" s="25">
        <f t="shared" si="126"/>
      </c>
      <c r="I314" s="33">
        <f>IF(G313&lt;0.5,"",IF(OR(YEAR(A314)&lt;YEAR(A315),G314&lt;0.5),SUM($H$11:H314)-SUM($I$11:I313),""))</f>
      </c>
      <c r="J314" s="35">
        <f t="shared" si="127"/>
      </c>
      <c r="K314" s="35">
        <f t="shared" si="128"/>
      </c>
      <c r="L314" s="33">
        <f t="shared" si="113"/>
      </c>
      <c r="M314" s="33">
        <f t="shared" si="129"/>
      </c>
    </row>
    <row r="315" spans="1:13" ht="12.75">
      <c r="A315" s="7">
        <f t="shared" si="111"/>
        <v>47999</v>
      </c>
      <c r="B315" s="23">
        <f t="shared" si="122"/>
        <v>305</v>
      </c>
      <c r="C315" s="30">
        <f t="shared" si="123"/>
      </c>
      <c r="D315" s="30"/>
      <c r="E315" s="30">
        <f t="shared" si="124"/>
      </c>
      <c r="F315" s="29">
        <f t="shared" si="112"/>
      </c>
      <c r="G315" s="30">
        <f t="shared" si="125"/>
        <v>0</v>
      </c>
      <c r="H315" s="25">
        <f t="shared" si="126"/>
      </c>
      <c r="I315" s="33">
        <f>IF(G314&lt;0.5,"",IF(OR(YEAR(A315)&lt;YEAR(A316),G315&lt;0.5),SUM($H$11:H315)-SUM($I$11:I314),""))</f>
      </c>
      <c r="J315" s="35">
        <f t="shared" si="127"/>
      </c>
      <c r="K315" s="35">
        <f t="shared" si="128"/>
      </c>
      <c r="L315" s="33">
        <f t="shared" si="113"/>
      </c>
      <c r="M315" s="33">
        <f t="shared" si="129"/>
      </c>
    </row>
    <row r="316" spans="1:13" ht="12.75">
      <c r="A316" s="7">
        <f t="shared" si="111"/>
        <v>48029</v>
      </c>
      <c r="B316" s="23">
        <f t="shared" si="122"/>
        <v>306</v>
      </c>
      <c r="C316" s="30">
        <f t="shared" si="123"/>
      </c>
      <c r="D316" s="30"/>
      <c r="E316" s="30">
        <f t="shared" si="124"/>
      </c>
      <c r="F316" s="29">
        <f t="shared" si="112"/>
      </c>
      <c r="G316" s="30">
        <f t="shared" si="125"/>
        <v>0</v>
      </c>
      <c r="H316" s="25">
        <f t="shared" si="126"/>
      </c>
      <c r="I316" s="33">
        <f>IF(G315&lt;0.5,"",IF(OR(YEAR(A316)&lt;YEAR(A317),G316&lt;0.5),SUM($H$11:H316)-SUM($I$11:I315),""))</f>
      </c>
      <c r="J316" s="35">
        <f t="shared" si="127"/>
      </c>
      <c r="K316" s="35">
        <f t="shared" si="128"/>
      </c>
      <c r="L316" s="33">
        <f t="shared" si="113"/>
      </c>
      <c r="M316" s="33">
        <f t="shared" si="129"/>
      </c>
    </row>
    <row r="317" spans="1:13" ht="12.75">
      <c r="A317" s="7">
        <f t="shared" si="111"/>
        <v>48060</v>
      </c>
      <c r="B317" s="23">
        <f t="shared" si="122"/>
        <v>307</v>
      </c>
      <c r="C317" s="30">
        <f t="shared" si="123"/>
      </c>
      <c r="D317" s="30"/>
      <c r="E317" s="30">
        <f t="shared" si="124"/>
      </c>
      <c r="F317" s="29">
        <f t="shared" si="112"/>
      </c>
      <c r="G317" s="30">
        <f t="shared" si="125"/>
        <v>0</v>
      </c>
      <c r="H317" s="25">
        <f t="shared" si="126"/>
      </c>
      <c r="I317" s="33">
        <f>IF(G316&lt;0.5,"",IF(OR(YEAR(A317)&lt;YEAR(A318),G317&lt;0.5),SUM($H$11:H317)-SUM($I$11:I316),""))</f>
      </c>
      <c r="J317" s="35">
        <f t="shared" si="127"/>
      </c>
      <c r="K317" s="35">
        <f t="shared" si="128"/>
      </c>
      <c r="L317" s="33">
        <f t="shared" si="113"/>
      </c>
      <c r="M317" s="33">
        <f t="shared" si="129"/>
      </c>
    </row>
    <row r="318" spans="1:13" ht="12.75">
      <c r="A318" s="7">
        <f t="shared" si="111"/>
        <v>48091</v>
      </c>
      <c r="B318" s="23">
        <f t="shared" si="122"/>
        <v>308</v>
      </c>
      <c r="C318" s="30">
        <f t="shared" si="123"/>
      </c>
      <c r="D318" s="30"/>
      <c r="E318" s="30">
        <f t="shared" si="124"/>
      </c>
      <c r="F318" s="29">
        <f t="shared" si="112"/>
      </c>
      <c r="G318" s="30">
        <f t="shared" si="125"/>
        <v>0</v>
      </c>
      <c r="H318" s="25">
        <f t="shared" si="126"/>
      </c>
      <c r="I318" s="33">
        <f>IF(G317&lt;0.5,"",IF(OR(YEAR(A318)&lt;YEAR(A319),G318&lt;0.5),SUM($H$11:H318)-SUM($I$11:I317),""))</f>
      </c>
      <c r="J318" s="35">
        <f t="shared" si="127"/>
      </c>
      <c r="K318" s="35">
        <f t="shared" si="128"/>
      </c>
      <c r="L318" s="33">
        <f t="shared" si="113"/>
      </c>
      <c r="M318" s="33">
        <f t="shared" si="129"/>
      </c>
    </row>
    <row r="319" spans="1:13" ht="12.75">
      <c r="A319" s="7">
        <f t="shared" si="111"/>
        <v>48121</v>
      </c>
      <c r="B319" s="23">
        <f t="shared" si="122"/>
        <v>309</v>
      </c>
      <c r="C319" s="30">
        <f t="shared" si="123"/>
      </c>
      <c r="D319" s="30"/>
      <c r="E319" s="30">
        <f t="shared" si="124"/>
      </c>
      <c r="F319" s="29">
        <f t="shared" si="112"/>
      </c>
      <c r="G319" s="30">
        <f t="shared" si="125"/>
        <v>0</v>
      </c>
      <c r="H319" s="25">
        <f t="shared" si="126"/>
      </c>
      <c r="I319" s="33">
        <f>IF(G318&lt;0.5,"",IF(OR(YEAR(A319)&lt;YEAR(A320),G319&lt;0.5),SUM($H$11:H319)-SUM($I$11:I318),""))</f>
      </c>
      <c r="J319" s="35">
        <f t="shared" si="127"/>
      </c>
      <c r="K319" s="35">
        <f t="shared" si="128"/>
      </c>
      <c r="L319" s="33">
        <f t="shared" si="113"/>
      </c>
      <c r="M319" s="33">
        <f t="shared" si="129"/>
      </c>
    </row>
    <row r="320" spans="1:13" ht="12.75">
      <c r="A320" s="7">
        <f t="shared" si="111"/>
        <v>48152</v>
      </c>
      <c r="B320" s="23">
        <f t="shared" si="122"/>
        <v>310</v>
      </c>
      <c r="C320" s="30">
        <f t="shared" si="123"/>
      </c>
      <c r="D320" s="30"/>
      <c r="E320" s="30">
        <f t="shared" si="124"/>
      </c>
      <c r="F320" s="29">
        <f t="shared" si="112"/>
      </c>
      <c r="G320" s="30">
        <f t="shared" si="125"/>
        <v>0</v>
      </c>
      <c r="H320" s="25">
        <f t="shared" si="126"/>
      </c>
      <c r="I320" s="33">
        <f>IF(G319&lt;0.5,"",IF(OR(YEAR(A320)&lt;YEAR(A321),G320&lt;0.5),SUM($H$11:H320)-SUM($I$11:I319),""))</f>
      </c>
      <c r="J320" s="35">
        <f t="shared" si="127"/>
      </c>
      <c r="K320" s="35">
        <f t="shared" si="128"/>
      </c>
      <c r="L320" s="33">
        <f t="shared" si="113"/>
      </c>
      <c r="M320" s="33">
        <f t="shared" si="129"/>
      </c>
    </row>
    <row r="321" spans="1:13" ht="12.75">
      <c r="A321" s="7">
        <f t="shared" si="111"/>
        <v>48182</v>
      </c>
      <c r="B321" s="23">
        <f t="shared" si="122"/>
        <v>311</v>
      </c>
      <c r="C321" s="30">
        <f t="shared" si="123"/>
      </c>
      <c r="D321" s="30"/>
      <c r="E321" s="30">
        <f t="shared" si="124"/>
      </c>
      <c r="F321" s="29">
        <f t="shared" si="112"/>
      </c>
      <c r="G321" s="30">
        <f t="shared" si="125"/>
        <v>0</v>
      </c>
      <c r="H321" s="25">
        <f t="shared" si="126"/>
      </c>
      <c r="I321" s="33">
        <f>IF(G320&lt;0.5,"",IF(OR(YEAR(A321)&lt;YEAR(A322),G321&lt;0.5),SUM($H$11:H321)-SUM($I$11:I320),""))</f>
      </c>
      <c r="J321" s="35">
        <f t="shared" si="127"/>
      </c>
      <c r="K321" s="35">
        <f t="shared" si="128"/>
      </c>
      <c r="L321" s="33">
        <f t="shared" si="113"/>
      </c>
      <c r="M321" s="33">
        <f t="shared" si="129"/>
      </c>
    </row>
    <row r="322" spans="1:13" ht="12.75">
      <c r="A322" s="7">
        <f t="shared" si="111"/>
        <v>48213</v>
      </c>
      <c r="B322" s="23">
        <f t="shared" si="122"/>
        <v>312</v>
      </c>
      <c r="C322" s="30">
        <f t="shared" si="123"/>
      </c>
      <c r="D322" s="30"/>
      <c r="E322" s="30">
        <f t="shared" si="124"/>
      </c>
      <c r="F322" s="29">
        <f t="shared" si="112"/>
      </c>
      <c r="G322" s="30">
        <f t="shared" si="125"/>
        <v>0</v>
      </c>
      <c r="H322" s="25">
        <f t="shared" si="126"/>
      </c>
      <c r="I322" s="33">
        <f>IF(G321&lt;0.5,"",IF(OR(YEAR(A322)&lt;YEAR(A323),G322&lt;0.5),SUM($H$11:H322)-SUM($I$11:I321),""))</f>
      </c>
      <c r="J322" s="35">
        <f t="shared" si="127"/>
      </c>
      <c r="K322" s="35">
        <f t="shared" si="128"/>
      </c>
      <c r="L322" s="33">
        <f t="shared" si="113"/>
      </c>
      <c r="M322" s="33">
        <f t="shared" si="129"/>
      </c>
    </row>
    <row r="323" spans="1:13" ht="12.75">
      <c r="A323" s="7">
        <f t="shared" si="111"/>
        <v>48244</v>
      </c>
      <c r="B323" s="23">
        <f t="shared" si="122"/>
        <v>313</v>
      </c>
      <c r="C323" s="30">
        <f t="shared" si="123"/>
      </c>
      <c r="D323" s="30"/>
      <c r="E323" s="30">
        <f t="shared" si="124"/>
      </c>
      <c r="F323" s="29">
        <f t="shared" si="112"/>
      </c>
      <c r="G323" s="30">
        <f t="shared" si="125"/>
        <v>0</v>
      </c>
      <c r="H323" s="25">
        <f t="shared" si="126"/>
      </c>
      <c r="I323" s="33">
        <f>IF(G322&lt;0.5,"",IF(OR(YEAR(A323)&lt;YEAR(A324),G323&lt;0.5),SUM($H$11:H323)-SUM($I$11:I322),""))</f>
      </c>
      <c r="J323" s="35">
        <f t="shared" si="127"/>
      </c>
      <c r="K323" s="35">
        <f t="shared" si="128"/>
      </c>
      <c r="L323" s="33">
        <f t="shared" si="113"/>
      </c>
      <c r="M323" s="33">
        <f t="shared" si="129"/>
      </c>
    </row>
    <row r="324" spans="1:13" ht="12.75">
      <c r="A324" s="7">
        <f t="shared" si="111"/>
        <v>48273</v>
      </c>
      <c r="B324" s="23">
        <f t="shared" si="122"/>
        <v>314</v>
      </c>
      <c r="C324" s="30">
        <f t="shared" si="123"/>
      </c>
      <c r="D324" s="30"/>
      <c r="E324" s="30">
        <f t="shared" si="124"/>
      </c>
      <c r="F324" s="29">
        <f t="shared" si="112"/>
      </c>
      <c r="G324" s="30">
        <f t="shared" si="125"/>
        <v>0</v>
      </c>
      <c r="H324" s="25">
        <f t="shared" si="126"/>
      </c>
      <c r="I324" s="33">
        <f>IF(G323&lt;0.5,"",IF(OR(YEAR(A324)&lt;YEAR(A325),G324&lt;0.5),SUM($H$11:H324)-SUM($I$11:I323),""))</f>
      </c>
      <c r="J324" s="35">
        <f t="shared" si="127"/>
      </c>
      <c r="K324" s="35">
        <f t="shared" si="128"/>
      </c>
      <c r="L324" s="33">
        <f t="shared" si="113"/>
      </c>
      <c r="M324" s="33">
        <f t="shared" si="129"/>
      </c>
    </row>
    <row r="325" spans="1:13" ht="12.75">
      <c r="A325" s="7">
        <f t="shared" si="111"/>
        <v>48304</v>
      </c>
      <c r="B325" s="23">
        <f t="shared" si="122"/>
        <v>315</v>
      </c>
      <c r="C325" s="30">
        <f t="shared" si="123"/>
      </c>
      <c r="D325" s="30"/>
      <c r="E325" s="30">
        <f t="shared" si="124"/>
      </c>
      <c r="F325" s="29">
        <f t="shared" si="112"/>
      </c>
      <c r="G325" s="30">
        <f t="shared" si="125"/>
        <v>0</v>
      </c>
      <c r="H325" s="25">
        <f t="shared" si="126"/>
      </c>
      <c r="I325" s="33">
        <f>IF(G324&lt;0.5,"",IF(OR(YEAR(A325)&lt;YEAR(A326),G325&lt;0.5),SUM($H$11:H325)-SUM($I$11:I324),""))</f>
      </c>
      <c r="J325" s="35">
        <f t="shared" si="127"/>
      </c>
      <c r="K325" s="35">
        <f t="shared" si="128"/>
      </c>
      <c r="L325" s="33">
        <f t="shared" si="113"/>
      </c>
      <c r="M325" s="33">
        <f t="shared" si="129"/>
      </c>
    </row>
    <row r="326" spans="1:13" ht="12.75">
      <c r="A326" s="7">
        <f t="shared" si="111"/>
        <v>48334</v>
      </c>
      <c r="B326" s="23">
        <f t="shared" si="122"/>
        <v>316</v>
      </c>
      <c r="C326" s="30">
        <f t="shared" si="123"/>
      </c>
      <c r="D326" s="30"/>
      <c r="E326" s="30">
        <f t="shared" si="124"/>
      </c>
      <c r="F326" s="29">
        <f t="shared" si="112"/>
      </c>
      <c r="G326" s="30">
        <f t="shared" si="125"/>
        <v>0</v>
      </c>
      <c r="H326" s="25">
        <f t="shared" si="126"/>
      </c>
      <c r="I326" s="33">
        <f>IF(G325&lt;0.5,"",IF(OR(YEAR(A326)&lt;YEAR(A327),G326&lt;0.5),SUM($H$11:H326)-SUM($I$11:I325),""))</f>
      </c>
      <c r="J326" s="35">
        <f t="shared" si="127"/>
      </c>
      <c r="K326" s="35">
        <f t="shared" si="128"/>
      </c>
      <c r="L326" s="33">
        <f t="shared" si="113"/>
      </c>
      <c r="M326" s="33">
        <f t="shared" si="129"/>
      </c>
    </row>
    <row r="327" spans="1:13" ht="12.75">
      <c r="A327" s="7">
        <f t="shared" si="111"/>
        <v>48365</v>
      </c>
      <c r="B327" s="23">
        <f t="shared" si="122"/>
        <v>317</v>
      </c>
      <c r="C327" s="30">
        <f t="shared" si="123"/>
      </c>
      <c r="D327" s="30"/>
      <c r="E327" s="30">
        <f t="shared" si="124"/>
      </c>
      <c r="F327" s="29">
        <f t="shared" si="112"/>
      </c>
      <c r="G327" s="30">
        <f t="shared" si="125"/>
        <v>0</v>
      </c>
      <c r="H327" s="25">
        <f t="shared" si="126"/>
      </c>
      <c r="I327" s="33">
        <f>IF(G326&lt;0.5,"",IF(OR(YEAR(A327)&lt;YEAR(A328),G327&lt;0.5),SUM($H$11:H327)-SUM($I$11:I326),""))</f>
      </c>
      <c r="J327" s="35">
        <f t="shared" si="127"/>
      </c>
      <c r="K327" s="35">
        <f t="shared" si="128"/>
      </c>
      <c r="L327" s="33">
        <f t="shared" si="113"/>
      </c>
      <c r="M327" s="33">
        <f t="shared" si="129"/>
      </c>
    </row>
    <row r="328" spans="1:13" ht="12.75">
      <c r="A328" s="7">
        <f t="shared" si="111"/>
        <v>48395</v>
      </c>
      <c r="B328" s="23">
        <f t="shared" si="122"/>
        <v>318</v>
      </c>
      <c r="C328" s="30">
        <f t="shared" si="123"/>
      </c>
      <c r="D328" s="30"/>
      <c r="E328" s="30">
        <f t="shared" si="124"/>
      </c>
      <c r="F328" s="29">
        <f t="shared" si="112"/>
      </c>
      <c r="G328" s="30">
        <f t="shared" si="125"/>
        <v>0</v>
      </c>
      <c r="H328" s="25">
        <f t="shared" si="126"/>
      </c>
      <c r="I328" s="33">
        <f>IF(G327&lt;0.5,"",IF(OR(YEAR(A328)&lt;YEAR(A329),G328&lt;0.5),SUM($H$11:H328)-SUM($I$11:I327),""))</f>
      </c>
      <c r="J328" s="35">
        <f t="shared" si="127"/>
      </c>
      <c r="K328" s="35">
        <f t="shared" si="128"/>
      </c>
      <c r="L328" s="33">
        <f t="shared" si="113"/>
      </c>
      <c r="M328" s="33">
        <f t="shared" si="129"/>
      </c>
    </row>
    <row r="329" spans="1:13" ht="12.75">
      <c r="A329" s="7">
        <f t="shared" si="111"/>
        <v>48426</v>
      </c>
      <c r="B329" s="23">
        <f t="shared" si="122"/>
        <v>319</v>
      </c>
      <c r="C329" s="30">
        <f t="shared" si="123"/>
      </c>
      <c r="D329" s="30"/>
      <c r="E329" s="30">
        <f t="shared" si="124"/>
      </c>
      <c r="F329" s="29">
        <f t="shared" si="112"/>
      </c>
      <c r="G329" s="30">
        <f t="shared" si="125"/>
        <v>0</v>
      </c>
      <c r="H329" s="25">
        <f t="shared" si="126"/>
      </c>
      <c r="I329" s="33">
        <f>IF(G328&lt;0.5,"",IF(OR(YEAR(A329)&lt;YEAR(A330),G329&lt;0.5),SUM($H$11:H329)-SUM($I$11:I328),""))</f>
      </c>
      <c r="J329" s="35">
        <f t="shared" si="127"/>
      </c>
      <c r="K329" s="35">
        <f t="shared" si="128"/>
      </c>
      <c r="L329" s="33">
        <f t="shared" si="113"/>
      </c>
      <c r="M329" s="33">
        <f t="shared" si="129"/>
      </c>
    </row>
    <row r="330" spans="1:13" ht="12.75">
      <c r="A330" s="7">
        <f t="shared" si="111"/>
        <v>48457</v>
      </c>
      <c r="B330" s="23">
        <f t="shared" si="122"/>
        <v>320</v>
      </c>
      <c r="C330" s="30">
        <f t="shared" si="123"/>
      </c>
      <c r="D330" s="30"/>
      <c r="E330" s="30">
        <f t="shared" si="124"/>
      </c>
      <c r="F330" s="29">
        <f t="shared" si="112"/>
      </c>
      <c r="G330" s="30">
        <f t="shared" si="125"/>
        <v>0</v>
      </c>
      <c r="H330" s="25">
        <f t="shared" si="126"/>
      </c>
      <c r="I330" s="33">
        <f>IF(G329&lt;0.5,"",IF(OR(YEAR(A330)&lt;YEAR(A331),G330&lt;0.5),SUM($H$11:H330)-SUM($I$11:I329),""))</f>
      </c>
      <c r="J330" s="35">
        <f t="shared" si="127"/>
      </c>
      <c r="K330" s="35">
        <f t="shared" si="128"/>
      </c>
      <c r="L330" s="33">
        <f t="shared" si="113"/>
      </c>
      <c r="M330" s="33">
        <f t="shared" si="129"/>
      </c>
    </row>
    <row r="331" spans="1:13" ht="12.75">
      <c r="A331" s="7">
        <f t="shared" si="111"/>
        <v>48487</v>
      </c>
      <c r="B331" s="23">
        <f t="shared" si="122"/>
        <v>321</v>
      </c>
      <c r="C331" s="30">
        <f t="shared" si="123"/>
      </c>
      <c r="D331" s="30"/>
      <c r="E331" s="30">
        <f t="shared" si="124"/>
      </c>
      <c r="F331" s="29">
        <f t="shared" si="112"/>
      </c>
      <c r="G331" s="30">
        <f t="shared" si="125"/>
        <v>0</v>
      </c>
      <c r="H331" s="25">
        <f t="shared" si="126"/>
      </c>
      <c r="I331" s="33">
        <f>IF(G330&lt;0.5,"",IF(OR(YEAR(A331)&lt;YEAR(A332),G331&lt;0.5),SUM($H$11:H331)-SUM($I$11:I330),""))</f>
      </c>
      <c r="J331" s="35">
        <f t="shared" si="127"/>
      </c>
      <c r="K331" s="35">
        <f t="shared" si="128"/>
      </c>
      <c r="L331" s="33">
        <f t="shared" si="113"/>
      </c>
      <c r="M331" s="33">
        <f t="shared" si="129"/>
      </c>
    </row>
    <row r="332" spans="1:13" ht="12.75">
      <c r="A332" s="7">
        <f t="shared" si="111"/>
        <v>48518</v>
      </c>
      <c r="B332" s="23">
        <f t="shared" si="122"/>
        <v>322</v>
      </c>
      <c r="C332" s="30">
        <f t="shared" si="123"/>
      </c>
      <c r="D332" s="30"/>
      <c r="E332" s="30">
        <f t="shared" si="124"/>
      </c>
      <c r="F332" s="29">
        <f t="shared" si="112"/>
      </c>
      <c r="G332" s="30">
        <f t="shared" si="125"/>
        <v>0</v>
      </c>
      <c r="H332" s="25">
        <f t="shared" si="126"/>
      </c>
      <c r="I332" s="33">
        <f>IF(G331&lt;0.5,"",IF(OR(YEAR(A332)&lt;YEAR(A333),G332&lt;0.5),SUM($H$11:H332)-SUM($I$11:I331),""))</f>
      </c>
      <c r="J332" s="35">
        <f t="shared" si="127"/>
      </c>
      <c r="K332" s="35">
        <f t="shared" si="128"/>
      </c>
      <c r="L332" s="33">
        <f t="shared" si="113"/>
      </c>
      <c r="M332" s="33">
        <f t="shared" si="129"/>
      </c>
    </row>
    <row r="333" spans="1:13" ht="12.75">
      <c r="A333" s="7">
        <f aca="true" t="shared" si="130" ref="A333:A370">IF($C$6&lt;27,DATE((YEAR(A332)-1900),MONTH(A332)+1,$C$6),DATE((YEAR(A332)-1900),MONTH(A332)+2,1)-1)</f>
        <v>48548</v>
      </c>
      <c r="B333" s="23">
        <f t="shared" si="122"/>
        <v>323</v>
      </c>
      <c r="C333" s="30">
        <f t="shared" si="123"/>
      </c>
      <c r="D333" s="30"/>
      <c r="E333" s="30">
        <f t="shared" si="124"/>
      </c>
      <c r="F333" s="29">
        <f aca="true" t="shared" si="131" ref="F333:F370">IF(G332&gt;0.5,C333-E333+D333,"")</f>
      </c>
      <c r="G333" s="30">
        <f t="shared" si="125"/>
        <v>0</v>
      </c>
      <c r="H333" s="25">
        <f t="shared" si="126"/>
      </c>
      <c r="I333" s="33">
        <f>IF(G332&lt;0.5,"",IF(OR(YEAR(A333)&lt;YEAR(A334),G333&lt;0.5),SUM($H$11:H333)-SUM($I$11:I332),""))</f>
      </c>
      <c r="J333" s="35">
        <f t="shared" si="127"/>
      </c>
      <c r="K333" s="35">
        <f t="shared" si="128"/>
      </c>
      <c r="L333" s="33">
        <f aca="true" t="shared" si="132" ref="L333:L370">IF(G332&gt;0.5,(C333+D333)/(1+$J$4)^B333+L332,"")</f>
      </c>
      <c r="M333" s="33">
        <f t="shared" si="129"/>
      </c>
    </row>
    <row r="334" spans="1:13" ht="12.75">
      <c r="A334" s="7">
        <f t="shared" si="130"/>
        <v>48579</v>
      </c>
      <c r="B334" s="23">
        <f t="shared" si="122"/>
        <v>324</v>
      </c>
      <c r="C334" s="30">
        <f t="shared" si="123"/>
      </c>
      <c r="D334" s="30"/>
      <c r="E334" s="30">
        <f t="shared" si="124"/>
      </c>
      <c r="F334" s="29">
        <f t="shared" si="131"/>
      </c>
      <c r="G334" s="30">
        <f t="shared" si="125"/>
        <v>0</v>
      </c>
      <c r="H334" s="25">
        <f t="shared" si="126"/>
      </c>
      <c r="I334" s="33">
        <f>IF(G333&lt;0.5,"",IF(OR(YEAR(A334)&lt;YEAR(A335),G334&lt;0.5),SUM($H$11:H334)-SUM($I$11:I333),""))</f>
      </c>
      <c r="J334" s="35">
        <f t="shared" si="127"/>
      </c>
      <c r="K334" s="35">
        <f t="shared" si="128"/>
      </c>
      <c r="L334" s="33">
        <f t="shared" si="132"/>
      </c>
      <c r="M334" s="33">
        <f t="shared" si="129"/>
      </c>
    </row>
    <row r="335" spans="1:13" ht="12.75">
      <c r="A335" s="7">
        <f t="shared" si="130"/>
        <v>48610</v>
      </c>
      <c r="B335" s="23">
        <f t="shared" si="122"/>
        <v>325</v>
      </c>
      <c r="C335" s="30">
        <f t="shared" si="123"/>
      </c>
      <c r="D335" s="30"/>
      <c r="E335" s="30">
        <f t="shared" si="124"/>
      </c>
      <c r="F335" s="29">
        <f t="shared" si="131"/>
      </c>
      <c r="G335" s="30">
        <f t="shared" si="125"/>
        <v>0</v>
      </c>
      <c r="H335" s="25">
        <f t="shared" si="126"/>
      </c>
      <c r="I335" s="33">
        <f>IF(G334&lt;0.5,"",IF(OR(YEAR(A335)&lt;YEAR(A336),G335&lt;0.5),SUM($H$11:H335)-SUM($I$11:I334),""))</f>
      </c>
      <c r="J335" s="35">
        <f t="shared" si="127"/>
      </c>
      <c r="K335" s="35">
        <f t="shared" si="128"/>
      </c>
      <c r="L335" s="33">
        <f t="shared" si="132"/>
      </c>
      <c r="M335" s="33">
        <f t="shared" si="129"/>
      </c>
    </row>
    <row r="336" spans="1:13" ht="12.75">
      <c r="A336" s="7">
        <f t="shared" si="130"/>
        <v>48638</v>
      </c>
      <c r="B336" s="23">
        <f t="shared" si="122"/>
        <v>326</v>
      </c>
      <c r="C336" s="30">
        <f t="shared" si="123"/>
      </c>
      <c r="D336" s="30"/>
      <c r="E336" s="30">
        <f t="shared" si="124"/>
      </c>
      <c r="F336" s="29">
        <f t="shared" si="131"/>
      </c>
      <c r="G336" s="30">
        <f t="shared" si="125"/>
        <v>0</v>
      </c>
      <c r="H336" s="25">
        <f t="shared" si="126"/>
      </c>
      <c r="I336" s="33">
        <f>IF(G335&lt;0.5,"",IF(OR(YEAR(A336)&lt;YEAR(A337),G336&lt;0.5),SUM($H$11:H336)-SUM($I$11:I335),""))</f>
      </c>
      <c r="J336" s="35">
        <f t="shared" si="127"/>
      </c>
      <c r="K336" s="35">
        <f t="shared" si="128"/>
      </c>
      <c r="L336" s="33">
        <f t="shared" si="132"/>
      </c>
      <c r="M336" s="33">
        <f t="shared" si="129"/>
      </c>
    </row>
    <row r="337" spans="1:13" ht="12.75">
      <c r="A337" s="7">
        <f t="shared" si="130"/>
        <v>48669</v>
      </c>
      <c r="B337" s="23">
        <f t="shared" si="122"/>
        <v>327</v>
      </c>
      <c r="C337" s="30">
        <f t="shared" si="123"/>
      </c>
      <c r="D337" s="30"/>
      <c r="E337" s="30">
        <f t="shared" si="124"/>
      </c>
      <c r="F337" s="29">
        <f t="shared" si="131"/>
      </c>
      <c r="G337" s="30">
        <f t="shared" si="125"/>
        <v>0</v>
      </c>
      <c r="H337" s="25">
        <f t="shared" si="126"/>
      </c>
      <c r="I337" s="33">
        <f>IF(G336&lt;0.5,"",IF(OR(YEAR(A337)&lt;YEAR(A338),G337&lt;0.5),SUM($H$11:H337)-SUM($I$11:I336),""))</f>
      </c>
      <c r="J337" s="35">
        <f t="shared" si="127"/>
      </c>
      <c r="K337" s="35">
        <f t="shared" si="128"/>
      </c>
      <c r="L337" s="33">
        <f t="shared" si="132"/>
      </c>
      <c r="M337" s="33">
        <f t="shared" si="129"/>
      </c>
    </row>
    <row r="338" spans="1:13" ht="12.75">
      <c r="A338" s="7">
        <f t="shared" si="130"/>
        <v>48699</v>
      </c>
      <c r="B338" s="23">
        <f t="shared" si="122"/>
        <v>328</v>
      </c>
      <c r="C338" s="30">
        <f t="shared" si="123"/>
      </c>
      <c r="D338" s="30"/>
      <c r="E338" s="30">
        <f t="shared" si="124"/>
      </c>
      <c r="F338" s="29">
        <f t="shared" si="131"/>
      </c>
      <c r="G338" s="30">
        <f t="shared" si="125"/>
        <v>0</v>
      </c>
      <c r="H338" s="25">
        <f t="shared" si="126"/>
      </c>
      <c r="I338" s="33">
        <f>IF(G337&lt;0.5,"",IF(OR(YEAR(A338)&lt;YEAR(A339),G338&lt;0.5),SUM($H$11:H338)-SUM($I$11:I337),""))</f>
      </c>
      <c r="J338" s="35">
        <f t="shared" si="127"/>
      </c>
      <c r="K338" s="35">
        <f t="shared" si="128"/>
      </c>
      <c r="L338" s="33">
        <f t="shared" si="132"/>
      </c>
      <c r="M338" s="33">
        <f t="shared" si="129"/>
      </c>
    </row>
    <row r="339" spans="1:13" ht="12.75">
      <c r="A339" s="7">
        <f t="shared" si="130"/>
        <v>48730</v>
      </c>
      <c r="B339" s="23">
        <f t="shared" si="122"/>
        <v>329</v>
      </c>
      <c r="C339" s="30">
        <f t="shared" si="123"/>
      </c>
      <c r="D339" s="30"/>
      <c r="E339" s="30">
        <f t="shared" si="124"/>
      </c>
      <c r="F339" s="29">
        <f t="shared" si="131"/>
      </c>
      <c r="G339" s="30">
        <f t="shared" si="125"/>
        <v>0</v>
      </c>
      <c r="H339" s="25">
        <f t="shared" si="126"/>
      </c>
      <c r="I339" s="33">
        <f>IF(G338&lt;0.5,"",IF(OR(YEAR(A339)&lt;YEAR(A340),G339&lt;0.5),SUM($H$11:H339)-SUM($I$11:I338),""))</f>
      </c>
      <c r="J339" s="35">
        <f t="shared" si="127"/>
      </c>
      <c r="K339" s="35">
        <f t="shared" si="128"/>
      </c>
      <c r="L339" s="33">
        <f t="shared" si="132"/>
      </c>
      <c r="M339" s="33">
        <f t="shared" si="129"/>
      </c>
    </row>
    <row r="340" spans="1:13" ht="12.75">
      <c r="A340" s="7">
        <f t="shared" si="130"/>
        <v>48760</v>
      </c>
      <c r="B340" s="23">
        <f t="shared" si="122"/>
        <v>330</v>
      </c>
      <c r="C340" s="30">
        <f t="shared" si="123"/>
      </c>
      <c r="D340" s="30"/>
      <c r="E340" s="30">
        <f t="shared" si="124"/>
      </c>
      <c r="F340" s="29">
        <f t="shared" si="131"/>
      </c>
      <c r="G340" s="30">
        <f t="shared" si="125"/>
        <v>0</v>
      </c>
      <c r="H340" s="25">
        <f t="shared" si="126"/>
      </c>
      <c r="I340" s="33">
        <f>IF(G339&lt;0.5,"",IF(OR(YEAR(A340)&lt;YEAR(A341),G340&lt;0.5),SUM($H$11:H340)-SUM($I$11:I339),""))</f>
      </c>
      <c r="J340" s="35">
        <f t="shared" si="127"/>
      </c>
      <c r="K340" s="35">
        <f t="shared" si="128"/>
      </c>
      <c r="L340" s="33">
        <f t="shared" si="132"/>
      </c>
      <c r="M340" s="33">
        <f t="shared" si="129"/>
      </c>
    </row>
    <row r="341" spans="1:13" ht="12.75">
      <c r="A341" s="7">
        <f t="shared" si="130"/>
        <v>48791</v>
      </c>
      <c r="B341" s="23">
        <f t="shared" si="122"/>
        <v>331</v>
      </c>
      <c r="C341" s="30">
        <f t="shared" si="123"/>
      </c>
      <c r="D341" s="30"/>
      <c r="E341" s="30">
        <f t="shared" si="124"/>
      </c>
      <c r="F341" s="29">
        <f t="shared" si="131"/>
      </c>
      <c r="G341" s="30">
        <f t="shared" si="125"/>
        <v>0</v>
      </c>
      <c r="H341" s="25">
        <f t="shared" si="126"/>
      </c>
      <c r="I341" s="33">
        <f>IF(G340&lt;0.5,"",IF(OR(YEAR(A341)&lt;YEAR(A342),G341&lt;0.5),SUM($H$11:H341)-SUM($I$11:I340),""))</f>
      </c>
      <c r="J341" s="35">
        <f t="shared" si="127"/>
      </c>
      <c r="K341" s="35">
        <f t="shared" si="128"/>
      </c>
      <c r="L341" s="33">
        <f t="shared" si="132"/>
      </c>
      <c r="M341" s="33">
        <f t="shared" si="129"/>
      </c>
    </row>
    <row r="342" spans="1:13" ht="12.75">
      <c r="A342" s="7">
        <f t="shared" si="130"/>
        <v>48822</v>
      </c>
      <c r="B342" s="23">
        <f t="shared" si="122"/>
        <v>332</v>
      </c>
      <c r="C342" s="30">
        <f t="shared" si="123"/>
      </c>
      <c r="D342" s="30"/>
      <c r="E342" s="30">
        <f t="shared" si="124"/>
      </c>
      <c r="F342" s="29">
        <f t="shared" si="131"/>
      </c>
      <c r="G342" s="30">
        <f t="shared" si="125"/>
        <v>0</v>
      </c>
      <c r="H342" s="25">
        <f t="shared" si="126"/>
      </c>
      <c r="I342" s="33">
        <f>IF(G341&lt;0.5,"",IF(OR(YEAR(A342)&lt;YEAR(A343),G342&lt;0.5),SUM($H$11:H342)-SUM($I$11:I341),""))</f>
      </c>
      <c r="J342" s="35">
        <f t="shared" si="127"/>
      </c>
      <c r="K342" s="35">
        <f t="shared" si="128"/>
      </c>
      <c r="L342" s="33">
        <f t="shared" si="132"/>
      </c>
      <c r="M342" s="33">
        <f t="shared" si="129"/>
      </c>
    </row>
    <row r="343" spans="1:13" ht="12.75">
      <c r="A343" s="7">
        <f t="shared" si="130"/>
        <v>48852</v>
      </c>
      <c r="B343" s="23">
        <f t="shared" si="122"/>
        <v>333</v>
      </c>
      <c r="C343" s="30">
        <f t="shared" si="123"/>
      </c>
      <c r="D343" s="30"/>
      <c r="E343" s="30">
        <f t="shared" si="124"/>
      </c>
      <c r="F343" s="29">
        <f t="shared" si="131"/>
      </c>
      <c r="G343" s="30">
        <f t="shared" si="125"/>
        <v>0</v>
      </c>
      <c r="H343" s="25">
        <f t="shared" si="126"/>
      </c>
      <c r="I343" s="33">
        <f>IF(G342&lt;0.5,"",IF(OR(YEAR(A343)&lt;YEAR(A344),G343&lt;0.5),SUM($H$11:H343)-SUM($I$11:I342),""))</f>
      </c>
      <c r="J343" s="35">
        <f t="shared" si="127"/>
      </c>
      <c r="K343" s="35">
        <f t="shared" si="128"/>
      </c>
      <c r="L343" s="33">
        <f t="shared" si="132"/>
      </c>
      <c r="M343" s="33">
        <f t="shared" si="129"/>
      </c>
    </row>
    <row r="344" spans="1:13" ht="12.75">
      <c r="A344" s="7">
        <f t="shared" si="130"/>
        <v>48883</v>
      </c>
      <c r="B344" s="23">
        <f t="shared" si="122"/>
        <v>334</v>
      </c>
      <c r="C344" s="30">
        <f t="shared" si="123"/>
      </c>
      <c r="D344" s="30"/>
      <c r="E344" s="30">
        <f t="shared" si="124"/>
      </c>
      <c r="F344" s="29">
        <f t="shared" si="131"/>
      </c>
      <c r="G344" s="30">
        <f t="shared" si="125"/>
        <v>0</v>
      </c>
      <c r="H344" s="25">
        <f t="shared" si="126"/>
      </c>
      <c r="I344" s="33">
        <f>IF(G343&lt;0.5,"",IF(OR(YEAR(A344)&lt;YEAR(A345),G344&lt;0.5),SUM($H$11:H344)-SUM($I$11:I343),""))</f>
      </c>
      <c r="J344" s="35">
        <f t="shared" si="127"/>
      </c>
      <c r="K344" s="35">
        <f t="shared" si="128"/>
      </c>
      <c r="L344" s="33">
        <f t="shared" si="132"/>
      </c>
      <c r="M344" s="33">
        <f t="shared" si="129"/>
      </c>
    </row>
    <row r="345" spans="1:13" ht="12.75">
      <c r="A345" s="7">
        <f t="shared" si="130"/>
        <v>48913</v>
      </c>
      <c r="B345" s="23">
        <f t="shared" si="122"/>
        <v>335</v>
      </c>
      <c r="C345" s="30">
        <f t="shared" si="123"/>
      </c>
      <c r="D345" s="30"/>
      <c r="E345" s="30">
        <f t="shared" si="124"/>
      </c>
      <c r="F345" s="29">
        <f t="shared" si="131"/>
      </c>
      <c r="G345" s="30">
        <f t="shared" si="125"/>
        <v>0</v>
      </c>
      <c r="H345" s="25">
        <f t="shared" si="126"/>
      </c>
      <c r="I345" s="33">
        <f>IF(G344&lt;0.5,"",IF(OR(YEAR(A345)&lt;YEAR(A346),G345&lt;0.5),SUM($H$11:H345)-SUM($I$11:I344),""))</f>
      </c>
      <c r="J345" s="35">
        <f t="shared" si="127"/>
      </c>
      <c r="K345" s="35">
        <f t="shared" si="128"/>
      </c>
      <c r="L345" s="33">
        <f t="shared" si="132"/>
      </c>
      <c r="M345" s="33">
        <f t="shared" si="129"/>
      </c>
    </row>
    <row r="346" spans="1:13" ht="12.75">
      <c r="A346" s="7">
        <f t="shared" si="130"/>
        <v>48944</v>
      </c>
      <c r="B346" s="23">
        <f t="shared" si="122"/>
        <v>336</v>
      </c>
      <c r="C346" s="30">
        <f t="shared" si="123"/>
      </c>
      <c r="D346" s="30"/>
      <c r="E346" s="30">
        <f t="shared" si="124"/>
      </c>
      <c r="F346" s="29">
        <f t="shared" si="131"/>
      </c>
      <c r="G346" s="30">
        <f t="shared" si="125"/>
        <v>0</v>
      </c>
      <c r="H346" s="25">
        <f t="shared" si="126"/>
      </c>
      <c r="I346" s="33">
        <f>IF(G345&lt;0.5,"",IF(OR(YEAR(A346)&lt;YEAR(A347),G346&lt;0.5),SUM($H$11:H346)-SUM($I$11:I345),""))</f>
      </c>
      <c r="J346" s="35">
        <f t="shared" si="127"/>
      </c>
      <c r="K346" s="35">
        <f t="shared" si="128"/>
      </c>
      <c r="L346" s="33">
        <f t="shared" si="132"/>
      </c>
      <c r="M346" s="33">
        <f t="shared" si="129"/>
      </c>
    </row>
    <row r="347" spans="1:13" ht="12.75">
      <c r="A347" s="7">
        <f t="shared" si="130"/>
        <v>48975</v>
      </c>
      <c r="B347" s="23">
        <f t="shared" si="122"/>
        <v>337</v>
      </c>
      <c r="C347" s="30">
        <f t="shared" si="123"/>
      </c>
      <c r="D347" s="30"/>
      <c r="E347" s="30">
        <f t="shared" si="124"/>
      </c>
      <c r="F347" s="29">
        <f t="shared" si="131"/>
      </c>
      <c r="G347" s="30">
        <f t="shared" si="125"/>
        <v>0</v>
      </c>
      <c r="H347" s="25">
        <f t="shared" si="126"/>
      </c>
      <c r="I347" s="33">
        <f>IF(G346&lt;0.5,"",IF(OR(YEAR(A347)&lt;YEAR(A348),G347&lt;0.5),SUM($H$11:H347)-SUM($I$11:I346),""))</f>
      </c>
      <c r="J347" s="35">
        <f t="shared" si="127"/>
      </c>
      <c r="K347" s="35">
        <f t="shared" si="128"/>
      </c>
      <c r="L347" s="33">
        <f t="shared" si="132"/>
      </c>
      <c r="M347" s="33">
        <f t="shared" si="129"/>
      </c>
    </row>
    <row r="348" spans="1:13" ht="12.75">
      <c r="A348" s="7">
        <f t="shared" si="130"/>
        <v>49003</v>
      </c>
      <c r="B348" s="23">
        <f t="shared" si="122"/>
        <v>338</v>
      </c>
      <c r="C348" s="30">
        <f t="shared" si="123"/>
      </c>
      <c r="D348" s="30"/>
      <c r="E348" s="30">
        <f t="shared" si="124"/>
      </c>
      <c r="F348" s="29">
        <f t="shared" si="131"/>
      </c>
      <c r="G348" s="30">
        <f t="shared" si="125"/>
        <v>0</v>
      </c>
      <c r="H348" s="25">
        <f t="shared" si="126"/>
      </c>
      <c r="I348" s="33">
        <f>IF(G347&lt;0.5,"",IF(OR(YEAR(A348)&lt;YEAR(A349),G348&lt;0.5),SUM($H$11:H348)-SUM($I$11:I347),""))</f>
      </c>
      <c r="J348" s="35">
        <f t="shared" si="127"/>
      </c>
      <c r="K348" s="35">
        <f t="shared" si="128"/>
      </c>
      <c r="L348" s="33">
        <f t="shared" si="132"/>
      </c>
      <c r="M348" s="33">
        <f t="shared" si="129"/>
      </c>
    </row>
    <row r="349" spans="1:13" ht="12.75">
      <c r="A349" s="7">
        <f t="shared" si="130"/>
        <v>49034</v>
      </c>
      <c r="B349" s="23">
        <f t="shared" si="122"/>
        <v>339</v>
      </c>
      <c r="C349" s="30">
        <f t="shared" si="123"/>
      </c>
      <c r="D349" s="30"/>
      <c r="E349" s="30">
        <f t="shared" si="124"/>
      </c>
      <c r="F349" s="29">
        <f t="shared" si="131"/>
      </c>
      <c r="G349" s="30">
        <f t="shared" si="125"/>
        <v>0</v>
      </c>
      <c r="H349" s="25">
        <f t="shared" si="126"/>
      </c>
      <c r="I349" s="33">
        <f>IF(G348&lt;0.5,"",IF(OR(YEAR(A349)&lt;YEAR(A350),G349&lt;0.5),SUM($H$11:H349)-SUM($I$11:I348),""))</f>
      </c>
      <c r="J349" s="35">
        <f t="shared" si="127"/>
      </c>
      <c r="K349" s="35">
        <f t="shared" si="128"/>
      </c>
      <c r="L349" s="33">
        <f t="shared" si="132"/>
      </c>
      <c r="M349" s="33">
        <f t="shared" si="129"/>
      </c>
    </row>
    <row r="350" spans="1:13" ht="12.75">
      <c r="A350" s="7">
        <f t="shared" si="130"/>
        <v>49064</v>
      </c>
      <c r="B350" s="23">
        <f t="shared" si="122"/>
        <v>340</v>
      </c>
      <c r="C350" s="30">
        <f t="shared" si="123"/>
      </c>
      <c r="D350" s="30"/>
      <c r="E350" s="30">
        <f t="shared" si="124"/>
      </c>
      <c r="F350" s="29">
        <f t="shared" si="131"/>
      </c>
      <c r="G350" s="30">
        <f t="shared" si="125"/>
        <v>0</v>
      </c>
      <c r="H350" s="25">
        <f t="shared" si="126"/>
      </c>
      <c r="I350" s="33">
        <f>IF(G349&lt;0.5,"",IF(OR(YEAR(A350)&lt;YEAR(A351),G350&lt;0.5),SUM($H$11:H350)-SUM($I$11:I349),""))</f>
      </c>
      <c r="J350" s="35">
        <f t="shared" si="127"/>
      </c>
      <c r="K350" s="35">
        <f t="shared" si="128"/>
      </c>
      <c r="L350" s="33">
        <f t="shared" si="132"/>
      </c>
      <c r="M350" s="33">
        <f t="shared" si="129"/>
      </c>
    </row>
    <row r="351" spans="1:13" ht="12.75">
      <c r="A351" s="7">
        <f t="shared" si="130"/>
        <v>49095</v>
      </c>
      <c r="B351" s="23">
        <f t="shared" si="122"/>
        <v>341</v>
      </c>
      <c r="C351" s="30">
        <f t="shared" si="123"/>
      </c>
      <c r="D351" s="30"/>
      <c r="E351" s="30">
        <f t="shared" si="124"/>
      </c>
      <c r="F351" s="29">
        <f t="shared" si="131"/>
      </c>
      <c r="G351" s="30">
        <f t="shared" si="125"/>
        <v>0</v>
      </c>
      <c r="H351" s="25">
        <f t="shared" si="126"/>
      </c>
      <c r="I351" s="33">
        <f>IF(G350&lt;0.5,"",IF(OR(YEAR(A351)&lt;YEAR(A352),G351&lt;0.5),SUM($H$11:H351)-SUM($I$11:I350),""))</f>
      </c>
      <c r="J351" s="35">
        <f t="shared" si="127"/>
      </c>
      <c r="K351" s="35">
        <f t="shared" si="128"/>
      </c>
      <c r="L351" s="33">
        <f t="shared" si="132"/>
      </c>
      <c r="M351" s="33">
        <f t="shared" si="129"/>
      </c>
    </row>
    <row r="352" spans="1:13" ht="12.75">
      <c r="A352" s="7">
        <f t="shared" si="130"/>
        <v>49125</v>
      </c>
      <c r="B352" s="23">
        <f t="shared" si="122"/>
        <v>342</v>
      </c>
      <c r="C352" s="30">
        <f t="shared" si="123"/>
      </c>
      <c r="D352" s="30"/>
      <c r="E352" s="30">
        <f t="shared" si="124"/>
      </c>
      <c r="F352" s="29">
        <f t="shared" si="131"/>
      </c>
      <c r="G352" s="30">
        <f t="shared" si="125"/>
        <v>0</v>
      </c>
      <c r="H352" s="25">
        <f t="shared" si="126"/>
      </c>
      <c r="I352" s="33">
        <f>IF(G351&lt;0.5,"",IF(OR(YEAR(A352)&lt;YEAR(A353),G352&lt;0.5),SUM($H$11:H352)-SUM($I$11:I351),""))</f>
      </c>
      <c r="J352" s="35">
        <f t="shared" si="127"/>
      </c>
      <c r="K352" s="35">
        <f t="shared" si="128"/>
      </c>
      <c r="L352" s="33">
        <f t="shared" si="132"/>
      </c>
      <c r="M352" s="33">
        <f t="shared" si="129"/>
      </c>
    </row>
    <row r="353" spans="1:13" ht="12.75">
      <c r="A353" s="7">
        <f t="shared" si="130"/>
        <v>49156</v>
      </c>
      <c r="B353" s="23">
        <f t="shared" si="122"/>
        <v>343</v>
      </c>
      <c r="C353" s="30">
        <f t="shared" si="123"/>
      </c>
      <c r="D353" s="30"/>
      <c r="E353" s="30">
        <f t="shared" si="124"/>
      </c>
      <c r="F353" s="29">
        <f t="shared" si="131"/>
      </c>
      <c r="G353" s="30">
        <f t="shared" si="125"/>
        <v>0</v>
      </c>
      <c r="H353" s="25">
        <f t="shared" si="126"/>
      </c>
      <c r="I353" s="33">
        <f>IF(G352&lt;0.5,"",IF(OR(YEAR(A353)&lt;YEAR(A354),G353&lt;0.5),SUM($H$11:H353)-SUM($I$11:I352),""))</f>
      </c>
      <c r="J353" s="35">
        <f t="shared" si="127"/>
      </c>
      <c r="K353" s="35">
        <f t="shared" si="128"/>
      </c>
      <c r="L353" s="33">
        <f t="shared" si="132"/>
      </c>
      <c r="M353" s="33">
        <f t="shared" si="129"/>
      </c>
    </row>
    <row r="354" spans="1:13" ht="12.75">
      <c r="A354" s="7">
        <f t="shared" si="130"/>
        <v>49187</v>
      </c>
      <c r="B354" s="23">
        <f t="shared" si="122"/>
        <v>344</v>
      </c>
      <c r="C354" s="30">
        <f t="shared" si="123"/>
      </c>
      <c r="D354" s="30"/>
      <c r="E354" s="30">
        <f t="shared" si="124"/>
      </c>
      <c r="F354" s="29">
        <f t="shared" si="131"/>
      </c>
      <c r="G354" s="30">
        <f t="shared" si="125"/>
        <v>0</v>
      </c>
      <c r="H354" s="25">
        <f t="shared" si="126"/>
      </c>
      <c r="I354" s="33">
        <f>IF(G353&lt;0.5,"",IF(OR(YEAR(A354)&lt;YEAR(A355),G354&lt;0.5),SUM($H$11:H354)-SUM($I$11:I353),""))</f>
      </c>
      <c r="J354" s="35">
        <f t="shared" si="127"/>
      </c>
      <c r="K354" s="35">
        <f t="shared" si="128"/>
      </c>
      <c r="L354" s="33">
        <f t="shared" si="132"/>
      </c>
      <c r="M354" s="33">
        <f t="shared" si="129"/>
      </c>
    </row>
    <row r="355" spans="1:13" ht="12.75">
      <c r="A355" s="7">
        <f t="shared" si="130"/>
        <v>49217</v>
      </c>
      <c r="B355" s="23">
        <f t="shared" si="122"/>
        <v>345</v>
      </c>
      <c r="C355" s="30">
        <f t="shared" si="123"/>
      </c>
      <c r="D355" s="30"/>
      <c r="E355" s="30">
        <f t="shared" si="124"/>
      </c>
      <c r="F355" s="29">
        <f t="shared" si="131"/>
      </c>
      <c r="G355" s="30">
        <f t="shared" si="125"/>
        <v>0</v>
      </c>
      <c r="H355" s="25">
        <f t="shared" si="126"/>
      </c>
      <c r="I355" s="33">
        <f>IF(G354&lt;0.5,"",IF(OR(YEAR(A355)&lt;YEAR(A356),G355&lt;0.5),SUM($H$11:H355)-SUM($I$11:I354),""))</f>
      </c>
      <c r="J355" s="35">
        <f t="shared" si="127"/>
      </c>
      <c r="K355" s="35">
        <f t="shared" si="128"/>
      </c>
      <c r="L355" s="33">
        <f t="shared" si="132"/>
      </c>
      <c r="M355" s="33">
        <f t="shared" si="129"/>
      </c>
    </row>
    <row r="356" spans="1:13" ht="12.75">
      <c r="A356" s="7">
        <f t="shared" si="130"/>
        <v>49248</v>
      </c>
      <c r="B356" s="23">
        <f t="shared" si="122"/>
        <v>346</v>
      </c>
      <c r="C356" s="30">
        <f t="shared" si="123"/>
      </c>
      <c r="D356" s="30"/>
      <c r="E356" s="30">
        <f t="shared" si="124"/>
      </c>
      <c r="F356" s="29">
        <f t="shared" si="131"/>
      </c>
      <c r="G356" s="30">
        <f t="shared" si="125"/>
        <v>0</v>
      </c>
      <c r="H356" s="25">
        <f t="shared" si="126"/>
      </c>
      <c r="I356" s="33">
        <f>IF(G355&lt;0.5,"",IF(OR(YEAR(A356)&lt;YEAR(A357),G356&lt;0.5),SUM($H$11:H356)-SUM($I$11:I355),""))</f>
      </c>
      <c r="J356" s="35">
        <f t="shared" si="127"/>
      </c>
      <c r="K356" s="35">
        <f t="shared" si="128"/>
      </c>
      <c r="L356" s="33">
        <f t="shared" si="132"/>
      </c>
      <c r="M356" s="33">
        <f t="shared" si="129"/>
      </c>
    </row>
    <row r="357" spans="1:13" ht="12.75">
      <c r="A357" s="7">
        <f t="shared" si="130"/>
        <v>49278</v>
      </c>
      <c r="B357" s="23">
        <f t="shared" si="122"/>
        <v>347</v>
      </c>
      <c r="C357" s="30">
        <f t="shared" si="123"/>
      </c>
      <c r="D357" s="30"/>
      <c r="E357" s="30">
        <f t="shared" si="124"/>
      </c>
      <c r="F357" s="29">
        <f t="shared" si="131"/>
      </c>
      <c r="G357" s="30">
        <f t="shared" si="125"/>
        <v>0</v>
      </c>
      <c r="H357" s="25">
        <f t="shared" si="126"/>
      </c>
      <c r="I357" s="33">
        <f>IF(G356&lt;0.5,"",IF(OR(YEAR(A357)&lt;YEAR(A358),G357&lt;0.5),SUM($H$11:H357)-SUM($I$11:I356),""))</f>
      </c>
      <c r="J357" s="35">
        <f t="shared" si="127"/>
      </c>
      <c r="K357" s="35">
        <f t="shared" si="128"/>
      </c>
      <c r="L357" s="33">
        <f t="shared" si="132"/>
      </c>
      <c r="M357" s="33">
        <f t="shared" si="129"/>
      </c>
    </row>
    <row r="358" spans="1:13" ht="12.75">
      <c r="A358" s="7">
        <f t="shared" si="130"/>
        <v>49309</v>
      </c>
      <c r="B358" s="23">
        <f t="shared" si="122"/>
        <v>348</v>
      </c>
      <c r="C358" s="30">
        <f t="shared" si="123"/>
      </c>
      <c r="D358" s="30"/>
      <c r="E358" s="30">
        <f t="shared" si="124"/>
      </c>
      <c r="F358" s="29">
        <f t="shared" si="131"/>
      </c>
      <c r="G358" s="30">
        <f t="shared" si="125"/>
        <v>0</v>
      </c>
      <c r="H358" s="25">
        <f t="shared" si="126"/>
      </c>
      <c r="I358" s="33">
        <f>IF(G357&lt;0.5,"",IF(OR(YEAR(A358)&lt;YEAR(A359),G358&lt;0.5),SUM($H$11:H358)-SUM($I$11:I357),""))</f>
      </c>
      <c r="J358" s="35">
        <f t="shared" si="127"/>
      </c>
      <c r="K358" s="35">
        <f t="shared" si="128"/>
      </c>
      <c r="L358" s="33">
        <f t="shared" si="132"/>
      </c>
      <c r="M358" s="33">
        <f t="shared" si="129"/>
      </c>
    </row>
    <row r="359" spans="1:13" ht="12.75">
      <c r="A359" s="7">
        <f t="shared" si="130"/>
        <v>49340</v>
      </c>
      <c r="B359" s="23">
        <f t="shared" si="122"/>
        <v>349</v>
      </c>
      <c r="C359" s="30">
        <f t="shared" si="123"/>
      </c>
      <c r="D359" s="30"/>
      <c r="E359" s="30">
        <f t="shared" si="124"/>
      </c>
      <c r="F359" s="29">
        <f t="shared" si="131"/>
      </c>
      <c r="G359" s="30">
        <f t="shared" si="125"/>
        <v>0</v>
      </c>
      <c r="H359" s="25">
        <f t="shared" si="126"/>
      </c>
      <c r="I359" s="33">
        <f>IF(G358&lt;0.5,"",IF(OR(YEAR(A359)&lt;YEAR(A360),G359&lt;0.5),SUM($H$11:H359)-SUM($I$11:I358),""))</f>
      </c>
      <c r="J359" s="35">
        <f t="shared" si="127"/>
      </c>
      <c r="K359" s="35">
        <f t="shared" si="128"/>
      </c>
      <c r="L359" s="33">
        <f t="shared" si="132"/>
      </c>
      <c r="M359" s="33">
        <f t="shared" si="129"/>
      </c>
    </row>
    <row r="360" spans="1:13" ht="12.75">
      <c r="A360" s="7">
        <f t="shared" si="130"/>
        <v>49368</v>
      </c>
      <c r="B360" s="23">
        <f t="shared" si="122"/>
        <v>350</v>
      </c>
      <c r="C360" s="30">
        <f t="shared" si="123"/>
      </c>
      <c r="D360" s="30"/>
      <c r="E360" s="30">
        <f t="shared" si="124"/>
      </c>
      <c r="F360" s="29">
        <f t="shared" si="131"/>
      </c>
      <c r="G360" s="30">
        <f t="shared" si="125"/>
        <v>0</v>
      </c>
      <c r="H360" s="25">
        <f t="shared" si="126"/>
      </c>
      <c r="I360" s="33">
        <f>IF(G359&lt;0.5,"",IF(OR(YEAR(A360)&lt;YEAR(A361),G360&lt;0.5),SUM($H$11:H360)-SUM($I$11:I359),""))</f>
      </c>
      <c r="J360" s="35">
        <f t="shared" si="127"/>
      </c>
      <c r="K360" s="35">
        <f t="shared" si="128"/>
      </c>
      <c r="L360" s="33">
        <f t="shared" si="132"/>
      </c>
      <c r="M360" s="33">
        <f t="shared" si="129"/>
      </c>
    </row>
    <row r="361" spans="1:13" ht="12.75">
      <c r="A361" s="7">
        <f t="shared" si="130"/>
        <v>49399</v>
      </c>
      <c r="B361" s="23">
        <f t="shared" si="122"/>
        <v>351</v>
      </c>
      <c r="C361" s="30">
        <f t="shared" si="123"/>
      </c>
      <c r="D361" s="30"/>
      <c r="E361" s="30">
        <f t="shared" si="124"/>
      </c>
      <c r="F361" s="29">
        <f t="shared" si="131"/>
      </c>
      <c r="G361" s="30">
        <f t="shared" si="125"/>
        <v>0</v>
      </c>
      <c r="H361" s="25">
        <f t="shared" si="126"/>
      </c>
      <c r="I361" s="33">
        <f>IF(G360&lt;0.5,"",IF(OR(YEAR(A361)&lt;YEAR(A362),G361&lt;0.5),SUM($H$11:H361)-SUM($I$11:I360),""))</f>
      </c>
      <c r="J361" s="35">
        <f t="shared" si="127"/>
      </c>
      <c r="K361" s="35">
        <f t="shared" si="128"/>
      </c>
      <c r="L361" s="33">
        <f t="shared" si="132"/>
      </c>
      <c r="M361" s="33">
        <f t="shared" si="129"/>
      </c>
    </row>
    <row r="362" spans="1:13" ht="12.75">
      <c r="A362" s="7">
        <f t="shared" si="130"/>
        <v>49429</v>
      </c>
      <c r="B362" s="23">
        <f t="shared" si="122"/>
        <v>352</v>
      </c>
      <c r="C362" s="30">
        <f t="shared" si="123"/>
      </c>
      <c r="D362" s="30"/>
      <c r="E362" s="30">
        <f t="shared" si="124"/>
      </c>
      <c r="F362" s="29">
        <f t="shared" si="131"/>
      </c>
      <c r="G362" s="30">
        <f t="shared" si="125"/>
        <v>0</v>
      </c>
      <c r="H362" s="25">
        <f t="shared" si="126"/>
      </c>
      <c r="I362" s="33">
        <f>IF(G361&lt;0.5,"",IF(OR(YEAR(A362)&lt;YEAR(A363),G362&lt;0.5),SUM($H$11:H362)-SUM($I$11:I361),""))</f>
      </c>
      <c r="J362" s="35">
        <f t="shared" si="127"/>
      </c>
      <c r="K362" s="35">
        <f t="shared" si="128"/>
      </c>
      <c r="L362" s="33">
        <f t="shared" si="132"/>
      </c>
      <c r="M362" s="33">
        <f t="shared" si="129"/>
      </c>
    </row>
    <row r="363" spans="1:13" ht="12.75">
      <c r="A363" s="7">
        <f t="shared" si="130"/>
        <v>49460</v>
      </c>
      <c r="B363" s="23">
        <f t="shared" si="122"/>
        <v>353</v>
      </c>
      <c r="C363" s="30">
        <f t="shared" si="123"/>
      </c>
      <c r="D363" s="30"/>
      <c r="E363" s="30">
        <f t="shared" si="124"/>
      </c>
      <c r="F363" s="29">
        <f t="shared" si="131"/>
      </c>
      <c r="G363" s="30">
        <f t="shared" si="125"/>
        <v>0</v>
      </c>
      <c r="H363" s="25">
        <f t="shared" si="126"/>
      </c>
      <c r="I363" s="33">
        <f>IF(G362&lt;0.5,"",IF(OR(YEAR(A363)&lt;YEAR(A364),G363&lt;0.5),SUM($H$11:H363)-SUM($I$11:I362),""))</f>
      </c>
      <c r="J363" s="35">
        <f t="shared" si="127"/>
      </c>
      <c r="K363" s="35">
        <f t="shared" si="128"/>
      </c>
      <c r="L363" s="33">
        <f t="shared" si="132"/>
      </c>
      <c r="M363" s="33">
        <f t="shared" si="129"/>
      </c>
    </row>
    <row r="364" spans="1:13" ht="12.75">
      <c r="A364" s="7">
        <f t="shared" si="130"/>
        <v>49490</v>
      </c>
      <c r="B364" s="23">
        <f t="shared" si="122"/>
        <v>354</v>
      </c>
      <c r="C364" s="30">
        <f t="shared" si="123"/>
      </c>
      <c r="D364" s="30"/>
      <c r="E364" s="30">
        <f t="shared" si="124"/>
      </c>
      <c r="F364" s="29">
        <f t="shared" si="131"/>
      </c>
      <c r="G364" s="30">
        <f t="shared" si="125"/>
        <v>0</v>
      </c>
      <c r="H364" s="25">
        <f t="shared" si="126"/>
      </c>
      <c r="I364" s="33">
        <f>IF(G363&lt;0.5,"",IF(OR(YEAR(A364)&lt;YEAR(A365),G364&lt;0.5),SUM($H$11:H364)-SUM($I$11:I363),""))</f>
      </c>
      <c r="J364" s="35">
        <f t="shared" si="127"/>
      </c>
      <c r="K364" s="35">
        <f t="shared" si="128"/>
      </c>
      <c r="L364" s="33">
        <f t="shared" si="132"/>
      </c>
      <c r="M364" s="33">
        <f t="shared" si="129"/>
      </c>
    </row>
    <row r="365" spans="1:13" ht="12.75">
      <c r="A365" s="7">
        <f t="shared" si="130"/>
        <v>49521</v>
      </c>
      <c r="B365" s="23">
        <f t="shared" si="122"/>
        <v>355</v>
      </c>
      <c r="C365" s="30">
        <f t="shared" si="123"/>
      </c>
      <c r="D365" s="30"/>
      <c r="E365" s="30">
        <f t="shared" si="124"/>
      </c>
      <c r="F365" s="29">
        <f t="shared" si="131"/>
      </c>
      <c r="G365" s="30">
        <f t="shared" si="125"/>
        <v>0</v>
      </c>
      <c r="H365" s="25">
        <f t="shared" si="126"/>
      </c>
      <c r="I365" s="33">
        <f>IF(G364&lt;0.5,"",IF(OR(YEAR(A365)&lt;YEAR(A366),G365&lt;0.5),SUM($H$11:H365)-SUM($I$11:I364),""))</f>
      </c>
      <c r="J365" s="35">
        <f t="shared" si="127"/>
      </c>
      <c r="K365" s="35">
        <f t="shared" si="128"/>
      </c>
      <c r="L365" s="33">
        <f t="shared" si="132"/>
      </c>
      <c r="M365" s="33">
        <f t="shared" si="129"/>
      </c>
    </row>
    <row r="366" spans="1:13" ht="12.75">
      <c r="A366" s="7">
        <f t="shared" si="130"/>
        <v>49552</v>
      </c>
      <c r="B366" s="23">
        <f t="shared" si="122"/>
        <v>356</v>
      </c>
      <c r="C366" s="30">
        <f t="shared" si="123"/>
      </c>
      <c r="D366" s="30"/>
      <c r="E366" s="30">
        <f t="shared" si="124"/>
      </c>
      <c r="F366" s="29">
        <f t="shared" si="131"/>
      </c>
      <c r="G366" s="30">
        <f t="shared" si="125"/>
        <v>0</v>
      </c>
      <c r="H366" s="25">
        <f t="shared" si="126"/>
      </c>
      <c r="I366" s="33">
        <f>IF(G365&lt;0.5,"",IF(OR(YEAR(A366)&lt;YEAR(A367),G366&lt;0.5),SUM($H$11:H366)-SUM($I$11:I365),""))</f>
      </c>
      <c r="J366" s="35">
        <f t="shared" si="127"/>
      </c>
      <c r="K366" s="35">
        <f t="shared" si="128"/>
      </c>
      <c r="L366" s="33">
        <f t="shared" si="132"/>
      </c>
      <c r="M366" s="33">
        <f t="shared" si="129"/>
      </c>
    </row>
    <row r="367" spans="1:13" ht="12.75">
      <c r="A367" s="7">
        <f t="shared" si="130"/>
        <v>49582</v>
      </c>
      <c r="B367" s="23">
        <f t="shared" si="122"/>
        <v>357</v>
      </c>
      <c r="C367" s="30">
        <f t="shared" si="123"/>
      </c>
      <c r="D367" s="30"/>
      <c r="E367" s="30">
        <f t="shared" si="124"/>
      </c>
      <c r="F367" s="29">
        <f t="shared" si="131"/>
      </c>
      <c r="G367" s="30">
        <f t="shared" si="125"/>
        <v>0</v>
      </c>
      <c r="H367" s="25">
        <f t="shared" si="126"/>
      </c>
      <c r="I367" s="33">
        <f>IF(G366&lt;0.5,"",IF(OR(YEAR(A367)&lt;YEAR(A368),G367&lt;0.5),SUM($H$11:H367)-SUM($I$11:I366),""))</f>
      </c>
      <c r="J367" s="35">
        <f t="shared" si="127"/>
      </c>
      <c r="K367" s="35">
        <f t="shared" si="128"/>
      </c>
      <c r="L367" s="33">
        <f t="shared" si="132"/>
      </c>
      <c r="M367" s="33">
        <f t="shared" si="129"/>
      </c>
    </row>
    <row r="368" spans="1:13" ht="12.75">
      <c r="A368" s="7">
        <f t="shared" si="130"/>
        <v>49613</v>
      </c>
      <c r="B368" s="23">
        <f t="shared" si="122"/>
        <v>358</v>
      </c>
      <c r="C368" s="30">
        <f t="shared" si="123"/>
      </c>
      <c r="D368" s="30"/>
      <c r="E368" s="30">
        <f t="shared" si="124"/>
      </c>
      <c r="F368" s="29">
        <f t="shared" si="131"/>
      </c>
      <c r="G368" s="30">
        <f t="shared" si="125"/>
        <v>0</v>
      </c>
      <c r="H368" s="25">
        <f t="shared" si="126"/>
      </c>
      <c r="I368" s="33">
        <f>IF(G367&lt;0.5,"",IF(OR(YEAR(A368)&lt;YEAR(A369),G368&lt;0.5),SUM($H$11:H368)-SUM($I$11:I367),""))</f>
      </c>
      <c r="J368" s="35">
        <f t="shared" si="127"/>
      </c>
      <c r="K368" s="35">
        <f t="shared" si="128"/>
      </c>
      <c r="L368" s="33">
        <f t="shared" si="132"/>
      </c>
      <c r="M368" s="33">
        <f t="shared" si="129"/>
      </c>
    </row>
    <row r="369" spans="1:13" ht="12.75">
      <c r="A369" s="7">
        <f t="shared" si="130"/>
        <v>49643</v>
      </c>
      <c r="B369" s="23">
        <f t="shared" si="122"/>
        <v>359</v>
      </c>
      <c r="C369" s="30">
        <f t="shared" si="123"/>
      </c>
      <c r="D369" s="30"/>
      <c r="E369" s="30">
        <f t="shared" si="124"/>
      </c>
      <c r="F369" s="29">
        <f t="shared" si="131"/>
      </c>
      <c r="G369" s="30">
        <f t="shared" si="125"/>
        <v>0</v>
      </c>
      <c r="H369" s="25">
        <f t="shared" si="126"/>
      </c>
      <c r="I369" s="33">
        <f>IF(G368&lt;0.5,"",IF(OR(YEAR(A369)&lt;YEAR(A370),G369&lt;0.5),SUM($H$11:H369)-SUM($I$11:I368),""))</f>
      </c>
      <c r="J369" s="35">
        <f t="shared" si="127"/>
      </c>
      <c r="K369" s="35">
        <f t="shared" si="128"/>
      </c>
      <c r="L369" s="33">
        <f t="shared" si="132"/>
      </c>
      <c r="M369" s="33">
        <f t="shared" si="129"/>
      </c>
    </row>
    <row r="370" spans="1:13" ht="12.75">
      <c r="A370" s="8">
        <f t="shared" si="130"/>
        <v>49674</v>
      </c>
      <c r="B370" s="9">
        <f t="shared" si="122"/>
        <v>360</v>
      </c>
      <c r="C370" s="31">
        <f t="shared" si="123"/>
      </c>
      <c r="D370" s="31"/>
      <c r="E370" s="31">
        <f t="shared" si="124"/>
      </c>
      <c r="F370" s="31">
        <f t="shared" si="131"/>
      </c>
      <c r="G370" s="31">
        <f t="shared" si="125"/>
        <v>0</v>
      </c>
      <c r="H370" s="17">
        <f t="shared" si="126"/>
      </c>
      <c r="I370" s="37">
        <f>IF(G369&lt;0.5,"",IF(OR(YEAR(A370)&lt;YEAR(A371),G370&lt;0.5),SUM($H$11:H370)-SUM($I$11:I369),""))</f>
      </c>
      <c r="J370" s="38">
        <f t="shared" si="127"/>
      </c>
      <c r="K370" s="38">
        <f t="shared" si="128"/>
      </c>
      <c r="L370" s="37">
        <f t="shared" si="132"/>
      </c>
      <c r="M370" s="37">
        <f t="shared" si="129"/>
      </c>
    </row>
    <row r="371" spans="2:13" ht="12.75">
      <c r="B371" s="14" t="s">
        <v>26</v>
      </c>
      <c r="C371" s="30">
        <f>SUM(C11:C370)</f>
        <v>68152.55591550458</v>
      </c>
      <c r="D371" s="30">
        <f>SUM(D11:D370)</f>
        <v>0</v>
      </c>
      <c r="E371" s="30">
        <f>SUM(E11:E370)</f>
        <v>43152.55591550469</v>
      </c>
      <c r="F371" s="30">
        <f>SUM(F11:F370)</f>
        <v>24999.99999999988</v>
      </c>
      <c r="G371" s="30"/>
      <c r="H371" s="24"/>
      <c r="I371" s="24">
        <f>SUM(H11:H370)</f>
        <v>10788.138978876172</v>
      </c>
      <c r="J371" s="25"/>
      <c r="K371" s="25"/>
      <c r="L371" s="26"/>
      <c r="M371" s="26"/>
    </row>
    <row r="372" spans="3:13" ht="12.75">
      <c r="C372" s="24"/>
      <c r="D372" s="24"/>
      <c r="E372" s="24"/>
      <c r="F372" s="24"/>
      <c r="G372" s="24"/>
      <c r="H372" s="24"/>
      <c r="I372" s="25"/>
      <c r="J372" s="25"/>
      <c r="K372" s="25"/>
      <c r="L372" s="26"/>
      <c r="M372" s="26"/>
    </row>
    <row r="373" spans="3:13" ht="12.75">
      <c r="C373" s="24"/>
      <c r="D373" s="24"/>
      <c r="E373" s="24"/>
      <c r="F373" s="24"/>
      <c r="G373" s="24"/>
      <c r="H373" s="24"/>
      <c r="I373" s="25"/>
      <c r="J373" s="25"/>
      <c r="K373" s="25"/>
      <c r="L373" s="26"/>
      <c r="M373" s="26"/>
    </row>
    <row r="374" spans="3:13" ht="12.75">
      <c r="C374" s="24"/>
      <c r="D374" s="24"/>
      <c r="E374" s="24"/>
      <c r="F374" s="24"/>
      <c r="G374" s="24"/>
      <c r="H374" s="24"/>
      <c r="I374" s="25"/>
      <c r="J374" s="25"/>
      <c r="K374" s="25"/>
      <c r="L374" s="26"/>
      <c r="M374" s="26"/>
    </row>
    <row r="375" spans="3:13" ht="12.75">
      <c r="C375" s="24"/>
      <c r="D375" s="24"/>
      <c r="E375" s="24"/>
      <c r="F375" s="24"/>
      <c r="G375" s="24"/>
      <c r="H375" s="24"/>
      <c r="I375" s="25"/>
      <c r="J375" s="25"/>
      <c r="K375" s="25"/>
      <c r="L375" s="26"/>
      <c r="M375" s="26"/>
    </row>
    <row r="376" spans="3:13" ht="12.75">
      <c r="C376" s="24"/>
      <c r="D376" s="24"/>
      <c r="E376" s="24"/>
      <c r="F376" s="24"/>
      <c r="G376" s="24"/>
      <c r="H376" s="24"/>
      <c r="I376" s="25"/>
      <c r="J376" s="25"/>
      <c r="K376" s="25"/>
      <c r="L376" s="26"/>
      <c r="M376" s="26"/>
    </row>
    <row r="377" spans="3:13" ht="12.75">
      <c r="C377" s="24"/>
      <c r="D377" s="24"/>
      <c r="E377" s="24"/>
      <c r="F377" s="24"/>
      <c r="G377" s="24"/>
      <c r="H377" s="24"/>
      <c r="I377" s="25"/>
      <c r="J377" s="25"/>
      <c r="K377" s="25"/>
      <c r="L377" s="26"/>
      <c r="M377" s="26"/>
    </row>
  </sheetData>
  <sheetProtection/>
  <printOptions/>
  <pageMargins left="1" right="1" top="1" bottom="1" header="0.5" footer="0.5"/>
  <pageSetup fitToHeight="4" fitToWidth="1" horizontalDpi="300" verticalDpi="300" orientation="landscape" scale="39" r:id="rId1"/>
  <headerFooter alignWithMargins="0">
    <oddFooter>&amp;R&amp;8Dairy Management at Virginia Tech
Dr. M. L. McGilliard
[&amp;F], Rev. 9/13/10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McGilliard</dc:creator>
  <cp:keywords/>
  <dc:description/>
  <cp:lastModifiedBy>Laura</cp:lastModifiedBy>
  <cp:lastPrinted>2006-10-06T04:11:25Z</cp:lastPrinted>
  <dcterms:created xsi:type="dcterms:W3CDTF">1996-10-01T01:34:30Z</dcterms:created>
  <dcterms:modified xsi:type="dcterms:W3CDTF">2017-03-10T15:23:15Z</dcterms:modified>
  <cp:category/>
  <cp:version/>
  <cp:contentType/>
  <cp:contentStatus/>
</cp:coreProperties>
</file>