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8" activeTab="0"/>
  </bookViews>
  <sheets>
    <sheet name="CF-5" sheetId="1" r:id="rId1"/>
    <sheet name="Loans" sheetId="2" r:id="rId2"/>
    <sheet name="PL-5" sheetId="3" r:id="rId3"/>
    <sheet name="NW-5" sheetId="4" r:id="rId4"/>
    <sheet name="New Herd" sheetId="5" r:id="rId5"/>
    <sheet name="Expanding Herd" sheetId="6" r:id="rId6"/>
  </sheets>
  <definedNames>
    <definedName name="MoPmt">'Loans'!$C$13:$C$372</definedName>
    <definedName name="_xlnm.Print_Titles" localSheetId="1">'Loans'!$11:$12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Mike McGilliard</author>
    <author>McGilliard</author>
    <author>Michael L. McGilliard</author>
  </authors>
  <commentList>
    <comment ref="G11" authorId="0">
      <text>
        <r>
          <rPr>
            <b/>
            <sz val="8"/>
            <rFont val="Tahoma"/>
            <family val="2"/>
          </rPr>
          <t>The first springers are included here.</t>
        </r>
      </text>
    </comment>
    <comment ref="G5" authorId="1">
      <text>
        <r>
          <rPr>
            <b/>
            <sz val="10"/>
            <rFont val="Tahoma"/>
            <family val="2"/>
          </rPr>
          <t>Currently referenced to New Herd Size Sheet, but can be changed to Expanding Herd Size sheet or overtyped with other cow numbers.</t>
        </r>
      </text>
    </comment>
    <comment ref="C40" authorId="1">
      <text>
        <r>
          <rPr>
            <b/>
            <sz val="8"/>
            <rFont val="Tahoma"/>
            <family val="2"/>
          </rPr>
          <t>After first year, cow #'s from top are used.</t>
        </r>
        <r>
          <rPr>
            <sz val="8"/>
            <rFont val="Tahoma"/>
            <family val="2"/>
          </rPr>
          <t xml:space="preserve">
</t>
        </r>
      </text>
    </comment>
    <comment ref="C47" authorId="1">
      <text>
        <r>
          <rPr>
            <b/>
            <sz val="8"/>
            <rFont val="Tahoma"/>
            <family val="2"/>
          </rPr>
          <t>After first year cwt's from top are used.</t>
        </r>
        <r>
          <rPr>
            <sz val="8"/>
            <rFont val="Tahoma"/>
            <family val="2"/>
          </rPr>
          <t xml:space="preserve">
</t>
        </r>
      </text>
    </comment>
    <comment ref="D74" authorId="1">
      <text>
        <r>
          <rPr>
            <b/>
            <sz val="8"/>
            <rFont val="Tahoma"/>
            <family val="2"/>
          </rPr>
          <t>Percentage of contingency funds to be used in year 1.</t>
        </r>
        <r>
          <rPr>
            <sz val="8"/>
            <rFont val="Tahoma"/>
            <family val="2"/>
          </rPr>
          <t xml:space="preserve">
</t>
        </r>
      </text>
    </comment>
    <comment ref="G74" authorId="1">
      <text>
        <r>
          <rPr>
            <b/>
            <sz val="8"/>
            <rFont val="Tahoma"/>
            <family val="2"/>
          </rPr>
          <t>Formula</t>
        </r>
        <r>
          <rPr>
            <sz val="8"/>
            <rFont val="Tahoma"/>
            <family val="2"/>
          </rPr>
          <t xml:space="preserve">
</t>
        </r>
      </text>
    </comment>
    <comment ref="C74" authorId="1">
      <text>
        <r>
          <rPr>
            <b/>
            <sz val="8"/>
            <rFont val="Tahoma"/>
            <family val="2"/>
          </rPr>
          <t>Total $ for contingencies (money shortages)</t>
        </r>
        <r>
          <rPr>
            <sz val="8"/>
            <rFont val="Tahoma"/>
            <family val="2"/>
          </rPr>
          <t xml:space="preserve">
</t>
        </r>
      </text>
    </comment>
    <comment ref="D68" authorId="1">
      <text>
        <r>
          <rPr>
            <b/>
            <sz val="8"/>
            <rFont val="Tahoma"/>
            <family val="2"/>
          </rPr>
          <t>Price per head.</t>
        </r>
        <r>
          <rPr>
            <sz val="8"/>
            <rFont val="Tahoma"/>
            <family val="2"/>
          </rPr>
          <t xml:space="preserve">
</t>
        </r>
      </text>
    </comment>
    <comment ref="D40" authorId="1">
      <text>
        <r>
          <rPr>
            <b/>
            <sz val="8"/>
            <rFont val="Tahoma"/>
            <family val="2"/>
          </rPr>
          <t>$/head/day</t>
        </r>
        <r>
          <rPr>
            <sz val="8"/>
            <rFont val="Tahoma"/>
            <family val="2"/>
          </rPr>
          <t xml:space="preserve">
From DMI predicted and cost per lb DM
(above, left)</t>
        </r>
      </text>
    </comment>
    <comment ref="D45" authorId="1">
      <text>
        <r>
          <rPr>
            <b/>
            <sz val="8"/>
            <rFont val="Tahoma"/>
            <family val="2"/>
          </rPr>
          <t>Per person per year.</t>
        </r>
        <r>
          <rPr>
            <sz val="8"/>
            <rFont val="Tahoma"/>
            <family val="2"/>
          </rPr>
          <t xml:space="preserve">
</t>
        </r>
      </text>
    </comment>
    <comment ref="D47" authorId="1">
      <text>
        <r>
          <rPr>
            <b/>
            <sz val="8"/>
            <rFont val="Tahoma"/>
            <family val="2"/>
          </rPr>
          <t>Per cwt.</t>
        </r>
        <r>
          <rPr>
            <sz val="8"/>
            <rFont val="Tahoma"/>
            <family val="2"/>
          </rPr>
          <t xml:space="preserve">
Marketing checkoff
plus Coops Working Together (5 cents)</t>
        </r>
      </text>
    </comment>
    <comment ref="D48" authorId="1">
      <text>
        <r>
          <rPr>
            <b/>
            <sz val="8"/>
            <rFont val="Tahoma"/>
            <family val="2"/>
          </rPr>
          <t>Per head per year.</t>
        </r>
        <r>
          <rPr>
            <sz val="8"/>
            <rFont val="Tahoma"/>
            <family val="2"/>
          </rPr>
          <t xml:space="preserve">
</t>
        </r>
      </text>
    </comment>
    <comment ref="C48" authorId="1">
      <text>
        <r>
          <rPr>
            <b/>
            <sz val="8"/>
            <rFont val="Tahoma"/>
            <family val="2"/>
          </rPr>
          <t>Milking + dry
(no springers)</t>
        </r>
        <r>
          <rPr>
            <sz val="8"/>
            <rFont val="Tahoma"/>
            <family val="2"/>
          </rPr>
          <t xml:space="preserve">
</t>
        </r>
      </text>
    </comment>
    <comment ref="G54" authorId="0">
      <text>
        <r>
          <rPr>
            <b/>
            <sz val="8"/>
            <rFont val="Tahoma"/>
            <family val="2"/>
          </rPr>
          <t>Mike McGilliard:</t>
        </r>
        <r>
          <rPr>
            <sz val="8"/>
            <rFont val="Tahoma"/>
            <family val="2"/>
          </rPr>
          <t xml:space="preserve">
80% of cows every two weeks between 70 and 400 days in milk.</t>
        </r>
      </text>
    </comment>
    <comment ref="A5" authorId="2">
      <text>
        <r>
          <rPr>
            <b/>
            <sz val="8"/>
            <rFont val="Tahoma"/>
            <family val="2"/>
          </rPr>
          <t>$/lb dry matter for milking cow ration</t>
        </r>
        <r>
          <rPr>
            <sz val="8"/>
            <rFont val="Tahoma"/>
            <family val="2"/>
          </rPr>
          <t xml:space="preserve">
</t>
        </r>
      </text>
    </comment>
    <comment ref="A6" authorId="2">
      <text>
        <r>
          <rPr>
            <b/>
            <sz val="8"/>
            <rFont val="Tahoma"/>
            <family val="2"/>
          </rPr>
          <t>$/lb dry matter for dry cow ration</t>
        </r>
        <r>
          <rPr>
            <sz val="8"/>
            <rFont val="Tahoma"/>
            <family val="2"/>
          </rPr>
          <t xml:space="preserve">
</t>
        </r>
      </text>
    </comment>
    <comment ref="A7" authorId="2">
      <text>
        <r>
          <rPr>
            <b/>
            <sz val="8"/>
            <rFont val="Tahoma"/>
            <family val="2"/>
          </rPr>
          <t>$/lb dry matter for springing heifer ration</t>
        </r>
        <r>
          <rPr>
            <sz val="8"/>
            <rFont val="Tahoma"/>
            <family val="2"/>
          </rPr>
          <t xml:space="preserve">
</t>
        </r>
      </text>
    </comment>
    <comment ref="A11" authorId="2">
      <text>
        <r>
          <rPr>
            <b/>
            <sz val="8"/>
            <rFont val="Tahoma"/>
            <family val="2"/>
          </rPr>
          <t>Dry matter for maintenance:
= 0.02*bwt</t>
        </r>
      </text>
    </comment>
    <comment ref="A12" authorId="2">
      <text>
        <r>
          <rPr>
            <b/>
            <sz val="8"/>
            <rFont val="Tahoma"/>
            <family val="2"/>
          </rPr>
          <t>Dry matter to support 1 lb of milk:
= 0.35*milk</t>
        </r>
        <r>
          <rPr>
            <sz val="8"/>
            <rFont val="Tahoma"/>
            <family val="2"/>
          </rPr>
          <t xml:space="preserve">
</t>
        </r>
      </text>
    </comment>
    <comment ref="A10" authorId="2">
      <text>
        <r>
          <rPr>
            <b/>
            <sz val="8"/>
            <rFont val="Tahoma"/>
            <family val="2"/>
          </rPr>
          <t>Dry Matter intake:
0.02*bwt + 0.35*milk</t>
        </r>
        <r>
          <rPr>
            <sz val="8"/>
            <rFont val="Tahoma"/>
            <family val="2"/>
          </rPr>
          <t xml:space="preserve">
Dry cow: milk=0</t>
        </r>
      </text>
    </comment>
    <comment ref="F3" authorId="2">
      <text>
        <r>
          <rPr>
            <b/>
            <sz val="8"/>
            <rFont val="Tahoma"/>
            <family val="2"/>
          </rPr>
          <t>Multiplier for each year:
1.05 = + 5%/year</t>
        </r>
        <r>
          <rPr>
            <sz val="8"/>
            <rFont val="Tahoma"/>
            <family val="2"/>
          </rPr>
          <t xml:space="preserve">
</t>
        </r>
      </text>
    </comment>
    <comment ref="G65" authorId="2">
      <text>
        <r>
          <rPr>
            <b/>
            <sz val="8"/>
            <rFont val="Tahoma"/>
            <family val="2"/>
          </rPr>
          <t>Principal for loans.
Interest is entered above.</t>
        </r>
        <r>
          <rPr>
            <sz val="8"/>
            <rFont val="Tahoma"/>
            <family val="2"/>
          </rPr>
          <t xml:space="preserve">
</t>
        </r>
      </text>
    </comment>
    <comment ref="C44" authorId="2">
      <text>
        <r>
          <rPr>
            <b/>
            <sz val="8"/>
            <rFont val="Tahoma"/>
            <family val="2"/>
          </rPr>
          <t>Enter months to calving, such as 26.  Springing heifers are subtracted out.</t>
        </r>
        <r>
          <rPr>
            <sz val="8"/>
            <rFont val="Tahoma"/>
            <family val="2"/>
          </rPr>
          <t xml:space="preserve">
</t>
        </r>
      </text>
    </comment>
    <comment ref="B44" authorId="2">
      <text>
        <r>
          <rPr>
            <b/>
            <sz val="8"/>
            <rFont val="Tahoma"/>
            <family val="2"/>
          </rPr>
          <t>Be sure to place a zero price on selling calves if they are reared here.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McGilliard</author>
  </authors>
  <commentList>
    <comment ref="D52" authorId="0">
      <text>
        <r>
          <rPr>
            <b/>
            <sz val="8"/>
            <rFont val="Tahoma"/>
            <family val="2"/>
          </rPr>
          <t>Purchase price</t>
        </r>
        <r>
          <rPr>
            <sz val="8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8"/>
            <rFont val="Tahoma"/>
            <family val="2"/>
          </rPr>
          <t>% depreciation each year.
10% = lasts 10 yrs approx.
  5% = lasts 20 yrs approx.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Mike McGilliard</author>
  </authors>
  <commentList>
    <comment ref="C16" authorId="0">
      <text>
        <r>
          <rPr>
            <b/>
            <sz val="8"/>
            <rFont val="Tahoma"/>
            <family val="2"/>
          </rPr>
          <t>Cows remaining after culling the new purchases.  New purchase culls are then replaced once.</t>
        </r>
      </text>
    </comment>
    <comment ref="C18" authorId="0">
      <text>
        <r>
          <rPr>
            <b/>
            <sz val="8"/>
            <rFont val="Tahoma"/>
            <family val="2"/>
          </rPr>
          <t>Replacements for culls of new purchases in year 1.</t>
        </r>
      </text>
    </comment>
  </commentList>
</comments>
</file>

<file path=xl/sharedStrings.xml><?xml version="1.0" encoding="utf-8"?>
<sst xmlns="http://schemas.openxmlformats.org/spreadsheetml/2006/main" count="507" uniqueCount="279">
  <si>
    <t>Yr 1</t>
  </si>
  <si>
    <t>Yr 2</t>
  </si>
  <si>
    <t>Yr 3</t>
  </si>
  <si>
    <t>Yr 4</t>
  </si>
  <si>
    <t>Yr 5</t>
  </si>
  <si>
    <t>Yr 6</t>
  </si>
  <si>
    <t>Yr 7</t>
  </si>
  <si>
    <t>Yr 8</t>
  </si>
  <si>
    <t>Yr 9</t>
  </si>
  <si>
    <t>Yr 10</t>
  </si>
  <si>
    <t>Cull rates:</t>
  </si>
  <si>
    <t xml:space="preserve">    1st Lactation</t>
  </si>
  <si>
    <t xml:space="preserve">    2+ Lactations</t>
  </si>
  <si>
    <t xml:space="preserve">    New purchases</t>
  </si>
  <si>
    <t>Herd size desired:</t>
  </si>
  <si>
    <t>Calving Interval (mo):</t>
  </si>
  <si>
    <t>Cows (milking, after culling)</t>
  </si>
  <si>
    <t>1st lact. cows entering herd</t>
  </si>
  <si>
    <t>Purchased 1st lact. cows</t>
  </si>
  <si>
    <t>Purchased older cows</t>
  </si>
  <si>
    <t>Total animals</t>
  </si>
  <si>
    <t>Heifers to sell</t>
  </si>
  <si>
    <t>New herd size</t>
  </si>
  <si>
    <t>Cull cows</t>
  </si>
  <si>
    <t>Bull Calves</t>
  </si>
  <si>
    <t>Heifers: 1-12 mo. of age</t>
  </si>
  <si>
    <t>Heifers: 13-24 mo. of age</t>
  </si>
  <si>
    <t>Herd size projections for a new herd</t>
  </si>
  <si>
    <t>CASH FLOW STATEMENT</t>
  </si>
  <si>
    <t>OPERATING RECEIPTS</t>
  </si>
  <si>
    <t>Total Operating Receipts</t>
  </si>
  <si>
    <t>CAPITAL RECEIPTS</t>
  </si>
  <si>
    <t>Cattle</t>
  </si>
  <si>
    <t>Machinery</t>
  </si>
  <si>
    <t>Total Capital Receipts</t>
  </si>
  <si>
    <t>OTHER RECEIPTS</t>
  </si>
  <si>
    <t xml:space="preserve">Off-farm employment  </t>
  </si>
  <si>
    <t>Other income</t>
  </si>
  <si>
    <t xml:space="preserve">Operating loans      </t>
  </si>
  <si>
    <t>Total Other Receipts</t>
  </si>
  <si>
    <t>TOTAL RECEIPTS</t>
  </si>
  <si>
    <t>OPERATING EXPENSES</t>
  </si>
  <si>
    <t>Interest</t>
  </si>
  <si>
    <t>Total Operating Expenses</t>
  </si>
  <si>
    <t>OTHER EXPENSES</t>
  </si>
  <si>
    <t xml:space="preserve">Income tax    </t>
  </si>
  <si>
    <t xml:space="preserve">Principal payments   </t>
  </si>
  <si>
    <t>Total Other Expenses</t>
  </si>
  <si>
    <t>TOTAL EXPENSES</t>
  </si>
  <si>
    <t>CASH FLOW SUMMARY</t>
  </si>
  <si>
    <t>Cash at Start</t>
  </si>
  <si>
    <t>Cash Surplus (deficit)</t>
  </si>
  <si>
    <t>Cash at End</t>
  </si>
  <si>
    <t>Price</t>
  </si>
  <si>
    <t>Quantity</t>
  </si>
  <si>
    <t>Milk sold (cwt)</t>
  </si>
  <si>
    <t>Cull cows (head)</t>
  </si>
  <si>
    <t>Calves sold (male, head)</t>
  </si>
  <si>
    <t>Calves sold (female, head)</t>
  </si>
  <si>
    <t>Hired labor (FTE, 2400 h)</t>
  </si>
  <si>
    <t>Patronage dividends</t>
  </si>
  <si>
    <t>CFSA programs</t>
  </si>
  <si>
    <t>Co-op retains</t>
  </si>
  <si>
    <t>Breeding</t>
  </si>
  <si>
    <t>Gas, fuel, oil</t>
  </si>
  <si>
    <t>Insurance</t>
  </si>
  <si>
    <t>Property Taxes</t>
  </si>
  <si>
    <t>Rent and leases (mostly land)</t>
  </si>
  <si>
    <t>Repairs and maintenance</t>
  </si>
  <si>
    <t>Supplies</t>
  </si>
  <si>
    <t>Utilities</t>
  </si>
  <si>
    <t>Other</t>
  </si>
  <si>
    <t>Assessments (milk deduct.)</t>
  </si>
  <si>
    <t>Milk hauling (milk deduct.)</t>
  </si>
  <si>
    <t>Vet and medicine</t>
  </si>
  <si>
    <t>Posilac</t>
  </si>
  <si>
    <t>Family living expense</t>
  </si>
  <si>
    <t>Trend</t>
  </si>
  <si>
    <t>Milk yield (Lb/d per cow):</t>
  </si>
  <si>
    <t>Lactating cows:</t>
  </si>
  <si>
    <t>Dry cows:</t>
  </si>
  <si>
    <t>Cull cows:</t>
  </si>
  <si>
    <t>Calves sold (male):</t>
  </si>
  <si>
    <t>Calves sold (female):</t>
  </si>
  <si>
    <t>Springing heifers (avg/d):</t>
  </si>
  <si>
    <t>Cattle Loans</t>
  </si>
  <si>
    <t>Machinery Loans</t>
  </si>
  <si>
    <t>Building Loans</t>
  </si>
  <si>
    <t>Land Loans</t>
  </si>
  <si>
    <t>Purchase Land</t>
  </si>
  <si>
    <t>Investor funds</t>
  </si>
  <si>
    <t>Replacement heifers:</t>
  </si>
  <si>
    <t>Lactating cows (head/d)</t>
  </si>
  <si>
    <t>Dry cows (head/d)</t>
  </si>
  <si>
    <t>Springing heifers (head/d)</t>
  </si>
  <si>
    <t xml:space="preserve">Pct </t>
  </si>
  <si>
    <t>Record system</t>
  </si>
  <si>
    <t>Purchase Replacements</t>
  </si>
  <si>
    <t>Feed Expenses</t>
  </si>
  <si>
    <t>Custom hire (manure hauling)</t>
  </si>
  <si>
    <t>Milk price (gross, $/cwt):</t>
  </si>
  <si>
    <t>Profit-Loss Statement</t>
  </si>
  <si>
    <t>Net Cash Income</t>
  </si>
  <si>
    <t>Accrual Adjustments</t>
  </si>
  <si>
    <t>Outstanding Accounts</t>
  </si>
  <si>
    <t>Accounts Receivable</t>
  </si>
  <si>
    <t>Accounts Payable</t>
  </si>
  <si>
    <t>Feed</t>
  </si>
  <si>
    <t>Growing Crops</t>
  </si>
  <si>
    <t>Market Livestock</t>
  </si>
  <si>
    <t>Semen</t>
  </si>
  <si>
    <t>Net Change in Inventory</t>
  </si>
  <si>
    <t>Net Outstanding Accounts</t>
  </si>
  <si>
    <t>Inventory - Ending Values</t>
  </si>
  <si>
    <t>Machinery and Equipment</t>
  </si>
  <si>
    <t>Buildings and Improvements</t>
  </si>
  <si>
    <t>Net Change in Capital Assets</t>
  </si>
  <si>
    <t>Total Adjustments to Net Cash Income</t>
  </si>
  <si>
    <t>Net Farm Income (Profit-Loss)</t>
  </si>
  <si>
    <t>Breeding Livestock</t>
  </si>
  <si>
    <t>Cash on Hand</t>
  </si>
  <si>
    <t>Cash on Deposit</t>
  </si>
  <si>
    <t>Notes Receivable</t>
  </si>
  <si>
    <t>Marketable Bonds and Securities</t>
  </si>
  <si>
    <t xml:space="preserve">Livestock Held for Sale </t>
  </si>
  <si>
    <t>Cash Invested in Growing Crops</t>
  </si>
  <si>
    <t>Notes Payable within 12 months</t>
  </si>
  <si>
    <t>Prepaid Expenses</t>
  </si>
  <si>
    <t>Other Current Assets (Specify)</t>
  </si>
  <si>
    <t xml:space="preserve">    Interest</t>
  </si>
  <si>
    <t xml:space="preserve">    Rent and Lease Payments</t>
  </si>
  <si>
    <t>Other (Specify)</t>
  </si>
  <si>
    <t>Securities (Not Readily Marketable)</t>
  </si>
  <si>
    <t>Cash Surrender Value, Life Insurance</t>
  </si>
  <si>
    <t>Breeding and Dairy Livestock</t>
  </si>
  <si>
    <t>Cars and Trucks</t>
  </si>
  <si>
    <t>Tractors</t>
  </si>
  <si>
    <t>Farm Machinery and Equipment</t>
  </si>
  <si>
    <t>Dairy Equipment</t>
  </si>
  <si>
    <t>Household Furn. and Equipment</t>
  </si>
  <si>
    <t>Investments in Cooperatives</t>
  </si>
  <si>
    <t>Land</t>
  </si>
  <si>
    <t>Milk Base</t>
  </si>
  <si>
    <t>Assets</t>
  </si>
  <si>
    <t>Liabilities</t>
  </si>
  <si>
    <t>Purchase Buildings</t>
  </si>
  <si>
    <t>Other (from contingency)</t>
  </si>
  <si>
    <t>Number of Cows</t>
  </si>
  <si>
    <t>Milk Sold per Cow (lbs)</t>
  </si>
  <si>
    <t>Milk Sold (total cwt)</t>
  </si>
  <si>
    <t>Current</t>
  </si>
  <si>
    <t>Pct</t>
  </si>
  <si>
    <t>Silage, Hay, and Feed on Hand</t>
  </si>
  <si>
    <t>Total Current Assets</t>
  </si>
  <si>
    <t>Intermediate</t>
  </si>
  <si>
    <t>Other (specify)</t>
  </si>
  <si>
    <t>Total Intermediate Assets</t>
  </si>
  <si>
    <t xml:space="preserve">Long Term </t>
  </si>
  <si>
    <t>Buildings</t>
  </si>
  <si>
    <t>Total Long Term Assets</t>
  </si>
  <si>
    <t>Total Assets</t>
  </si>
  <si>
    <t>Balance Sheet (herd) - continued</t>
  </si>
  <si>
    <t>Current (&lt; 1 year)</t>
  </si>
  <si>
    <t>Principal due within 12 months</t>
  </si>
  <si>
    <t xml:space="preserve">   Loan 1 (Land)</t>
  </si>
  <si>
    <t xml:space="preserve">   Loan 2 (Cattle)</t>
  </si>
  <si>
    <t xml:space="preserve">   Loan 3 (Machinery)</t>
  </si>
  <si>
    <t xml:space="preserve">   Loan 4 (Machinery)</t>
  </si>
  <si>
    <t>Accrued (past-due)</t>
  </si>
  <si>
    <t xml:space="preserve">    Income Tax</t>
  </si>
  <si>
    <t xml:space="preserve">    Property Tax</t>
  </si>
  <si>
    <t>Total Current Liabilities</t>
  </si>
  <si>
    <t>Intermediate (1-10 years)</t>
  </si>
  <si>
    <t>Loan Principal (beyond 1 year)</t>
  </si>
  <si>
    <t xml:space="preserve">   Breeding and Dairy Livestock</t>
  </si>
  <si>
    <t xml:space="preserve">   Cars and Trucks</t>
  </si>
  <si>
    <t xml:space="preserve">   Tractors</t>
  </si>
  <si>
    <t xml:space="preserve">   Farm Machinery and Equipment</t>
  </si>
  <si>
    <t xml:space="preserve">   Dairy Equipment</t>
  </si>
  <si>
    <t xml:space="preserve">   Household Furn., Equipment</t>
  </si>
  <si>
    <t xml:space="preserve">   Investments in Cooperatives</t>
  </si>
  <si>
    <t>Total Intermediate Liabilities</t>
  </si>
  <si>
    <t>Long Term (&gt; 10 years)</t>
  </si>
  <si>
    <t>Loan Principal beyond 1 year</t>
  </si>
  <si>
    <t xml:space="preserve">   Land</t>
  </si>
  <si>
    <t xml:space="preserve">   Buildings</t>
  </si>
  <si>
    <t xml:space="preserve">   Milk Base</t>
  </si>
  <si>
    <t>Total Long Term Liabilities</t>
  </si>
  <si>
    <t>Total Liabilities</t>
  </si>
  <si>
    <t>Net Worth</t>
  </si>
  <si>
    <t>Per Cow and Cwt</t>
  </si>
  <si>
    <t>Per Cow</t>
  </si>
  <si>
    <t>/Cwt</t>
  </si>
  <si>
    <t>Balance Sheet</t>
  </si>
  <si>
    <t>Do not use this sheet; it is not ready.</t>
  </si>
  <si>
    <t>(% of milk)</t>
  </si>
  <si>
    <t>Start with herd size, then cash flow, then P-L</t>
  </si>
  <si>
    <t>Operating receipts and expenses drive off the Cash Flow.  Possible changes below Net Cash.</t>
  </si>
  <si>
    <t>Herd Size Desired:</t>
  </si>
  <si>
    <t>wks</t>
  </si>
  <si>
    <t>Investor Dividends</t>
  </si>
  <si>
    <t>Herd size projections for expanded herd</t>
  </si>
  <si>
    <t>(page down to enter original herd)</t>
  </si>
  <si>
    <t>(see next sheet to enter new herd)</t>
  </si>
  <si>
    <t>Milking cows, year 0:</t>
  </si>
  <si>
    <t xml:space="preserve">   1st lact.</t>
  </si>
  <si>
    <t xml:space="preserve">   2+ lact.</t>
  </si>
  <si>
    <t xml:space="preserve">   New purchases</t>
  </si>
  <si>
    <t>Original Herd</t>
  </si>
  <si>
    <t xml:space="preserve">    New Purchases</t>
  </si>
  <si>
    <t>Change in Herd Size</t>
  </si>
  <si>
    <t>Purchased cows</t>
  </si>
  <si>
    <t>Calf stillbirth / death loss:</t>
  </si>
  <si>
    <t>Heifer infertility:</t>
  </si>
  <si>
    <t>Percent female calves:</t>
  </si>
  <si>
    <t>(see prev. sheet for expanding herd)</t>
  </si>
  <si>
    <t>Begin</t>
  </si>
  <si>
    <t>Percent Female Calves:</t>
  </si>
  <si>
    <t>Total animals available</t>
  </si>
  <si>
    <t>Springing heifers to sell</t>
  </si>
  <si>
    <t>Final herd size</t>
  </si>
  <si>
    <t xml:space="preserve">   1st lact. Culls</t>
  </si>
  <si>
    <t xml:space="preserve">   2+ lact. Culls</t>
  </si>
  <si>
    <t xml:space="preserve">   New purchase culls</t>
  </si>
  <si>
    <t>Rearing Heifers? (Y/N)</t>
  </si>
  <si>
    <t>Note: For purchases, culls, and calves, sum beginning with year 1.</t>
  </si>
  <si>
    <t>Purchase Cattle (not replacements)</t>
  </si>
  <si>
    <t>Generally change only blue text or green cells</t>
  </si>
  <si>
    <t>Capital Assets - Ending Values  (Change=End-Begin)</t>
  </si>
  <si>
    <t>Capital Purchases (subtract)</t>
  </si>
  <si>
    <t>Capital Sales (add)</t>
  </si>
  <si>
    <t>Feed shrink and waste</t>
  </si>
  <si>
    <t>Net Cash for Year</t>
  </si>
  <si>
    <t>Posilac (enter 1 dose as price)</t>
  </si>
  <si>
    <t>Calves/Heifers (to nn mo)</t>
  </si>
  <si>
    <t>$/lb</t>
  </si>
  <si>
    <t>DM</t>
  </si>
  <si>
    <t>DMI</t>
  </si>
  <si>
    <t>coeff</t>
  </si>
  <si>
    <t>y</t>
  </si>
  <si>
    <t>Amount Borrowed:</t>
  </si>
  <si>
    <t>Loan Interest Rate (%):</t>
  </si>
  <si>
    <t>Years of Loan:</t>
  </si>
  <si>
    <t>Month of Pmt:</t>
  </si>
  <si>
    <t>Day of Pmt:</t>
  </si>
  <si>
    <t>Year 1st Pmt:</t>
  </si>
  <si>
    <t>Date</t>
  </si>
  <si>
    <t>Period</t>
  </si>
  <si>
    <t>Payment</t>
  </si>
  <si>
    <t>Extra</t>
  </si>
  <si>
    <t>Princ</t>
  </si>
  <si>
    <t>Balance</t>
  </si>
  <si>
    <t>Totals:</t>
  </si>
  <si>
    <t>Discount Rate (%):</t>
  </si>
  <si>
    <t>Efficiency Measures from Cash Flow</t>
  </si>
  <si>
    <t>Break-even milk price</t>
  </si>
  <si>
    <t>Break-even milk/d per cow</t>
  </si>
  <si>
    <t>Milk sold per person</t>
  </si>
  <si>
    <t>Milk sold per cow</t>
  </si>
  <si>
    <t>Operating expense per cwt</t>
  </si>
  <si>
    <t>Net operating ratio</t>
  </si>
  <si>
    <t>Feed cost per cwt</t>
  </si>
  <si>
    <t>Interest per cow</t>
  </si>
  <si>
    <t>Debt payments per cow</t>
  </si>
  <si>
    <t>Labor % of operating expenses</t>
  </si>
  <si>
    <t>Labor % of milk receipts</t>
  </si>
  <si>
    <t>Total debt payments</t>
  </si>
  <si>
    <t>Monthly Loan Amortization-1</t>
  </si>
  <si>
    <t>Monthly Loan Amortization-2</t>
  </si>
  <si>
    <t>Monthly Loan Amortization-3</t>
  </si>
  <si>
    <t>Monthly Loan Amortization-4</t>
  </si>
  <si>
    <t>Monthly Loan Amortization-5</t>
  </si>
  <si>
    <t>Purchase Equipment</t>
  </si>
  <si>
    <t>Purchase calf startup equip.</t>
  </si>
  <si>
    <t>Change blue cells only</t>
  </si>
  <si>
    <t xml:space="preserve">  (x bwt)</t>
  </si>
  <si>
    <t xml:space="preserve">  (x milk)</t>
  </si>
  <si>
    <t>BWT</t>
  </si>
  <si>
    <t xml:space="preserve">  [Milking, Dry, Springers]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</si>
</sst>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_)"/>
    <numFmt numFmtId="167" formatCode="0.00_)"/>
    <numFmt numFmtId="168" formatCode="mm/dd/yy"/>
    <numFmt numFmtId="169" formatCode="\$#,##0.00;[Red]\-\$#,##0.00"/>
    <numFmt numFmtId="170" formatCode="_(* #,##0.0_);_(* \(#,##0.0\);_(* &quot;-&quot;??_);_(@_)"/>
    <numFmt numFmtId="171" formatCode="_(* #,##0_);_(* \(#,##0\);_(* &quot;-&quot;??_);_(@_)"/>
    <numFmt numFmtId="172" formatCode="#,##0.0"/>
    <numFmt numFmtId="173" formatCode="_(* #,##0.0_);_(* \(#,##0.0\);_(* &quot;-&quot;?_);_(@_)"/>
    <numFmt numFmtId="174" formatCode="#,##0.000"/>
    <numFmt numFmtId="175" formatCode="0.00000"/>
    <numFmt numFmtId="176" formatCode="mmmm\ d\,\ yyyy"/>
    <numFmt numFmtId="177" formatCode="0.0000"/>
    <numFmt numFmtId="178" formatCode="0.0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General_)"/>
    <numFmt numFmtId="182" formatCode=";;;"/>
    <numFmt numFmtId="183" formatCode="0.0%"/>
    <numFmt numFmtId="184" formatCode="_(* #,##0.000_);_(* \(#,##0.000\);_(* &quot;-&quot;??_);_(@_)"/>
    <numFmt numFmtId="185" formatCode="0.0000000"/>
    <numFmt numFmtId="186" formatCode="0.000000"/>
    <numFmt numFmtId="187" formatCode="0_);\(0\)"/>
    <numFmt numFmtId="188" formatCode="_(* #,##0.000_);_(* \(#,##0.000\);_(* &quot;-&quot;???_);_(@_)"/>
    <numFmt numFmtId="189" formatCode="_(* #,##0.0000_);_(* \(#,##0.0000\);_(* &quot;-&quot;????_);_(@_)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0"/>
      <name val="Helv"/>
      <family val="0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Helv"/>
      <family val="0"/>
    </font>
    <font>
      <b/>
      <sz val="11"/>
      <name val="Helv"/>
      <family val="0"/>
    </font>
    <font>
      <b/>
      <i/>
      <sz val="16"/>
      <name val="Helv"/>
      <family val="0"/>
    </font>
    <font>
      <b/>
      <sz val="12"/>
      <name val="Arial"/>
      <family val="2"/>
    </font>
    <font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Tahoma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2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9900"/>
      <name val="Arial"/>
      <family val="2"/>
    </font>
    <font>
      <b/>
      <sz val="12"/>
      <color rgb="FF0070C0"/>
      <name val="Arial"/>
      <family val="2"/>
    </font>
    <font>
      <sz val="10"/>
      <color rgb="FF00B05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 style="double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7" fillId="0" borderId="0">
      <alignment/>
      <protection/>
    </xf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8" fillId="0" borderId="0">
      <alignment horizontal="center"/>
      <protection/>
    </xf>
    <xf numFmtId="42" fontId="0" fillId="0" borderId="0" applyFont="0" applyFill="0" applyBorder="0" applyAlignment="0" applyProtection="0"/>
    <xf numFmtId="168" fontId="9" fillId="0" borderId="3" applyFont="0" applyFill="0" applyBorder="0" applyAlignment="0">
      <protection/>
    </xf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9" borderId="0" applyNumberFormat="0" applyBorder="0" applyAlignment="0" applyProtection="0"/>
    <xf numFmtId="38" fontId="10" fillId="30" borderId="0" applyNumberFormat="0" applyBorder="0" applyAlignment="0" applyProtection="0"/>
    <xf numFmtId="0" fontId="11" fillId="0" borderId="0">
      <alignment horizontal="left"/>
      <protection/>
    </xf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31" borderId="1" applyNumberFormat="0" applyAlignment="0" applyProtection="0"/>
    <xf numFmtId="10" fontId="10" fillId="30" borderId="7" applyNumberFormat="0" applyBorder="0" applyAlignment="0" applyProtection="0"/>
    <xf numFmtId="0" fontId="53" fillId="0" borderId="8" applyNumberFormat="0" applyFill="0" applyAlignment="0" applyProtection="0"/>
    <xf numFmtId="0" fontId="12" fillId="0" borderId="9">
      <alignment/>
      <protection/>
    </xf>
    <xf numFmtId="0" fontId="54" fillId="32" borderId="0" applyNumberFormat="0" applyBorder="0" applyAlignment="0" applyProtection="0"/>
    <xf numFmtId="167" fontId="13" fillId="0" borderId="0">
      <alignment/>
      <protection/>
    </xf>
    <xf numFmtId="0" fontId="0" fillId="0" borderId="0">
      <alignment/>
      <protection/>
    </xf>
    <xf numFmtId="0" fontId="0" fillId="33" borderId="10" applyNumberFormat="0" applyFont="0" applyAlignment="0" applyProtection="0"/>
    <xf numFmtId="0" fontId="55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2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58" fillId="0" borderId="0" applyNumberFormat="0" applyFill="0" applyBorder="0" applyAlignment="0" applyProtection="0"/>
  </cellStyleXfs>
  <cellXfs count="441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right"/>
      <protection/>
    </xf>
    <xf numFmtId="0" fontId="0" fillId="0" borderId="3" xfId="0" applyFont="1" applyBorder="1" applyAlignment="1" applyProtection="1">
      <alignment horizontal="left"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16" xfId="0" applyNumberFormat="1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left"/>
      <protection/>
    </xf>
    <xf numFmtId="164" fontId="5" fillId="34" borderId="17" xfId="0" applyNumberFormat="1" applyFont="1" applyFill="1" applyBorder="1" applyAlignment="1" applyProtection="1">
      <alignment/>
      <protection locked="0"/>
    </xf>
    <xf numFmtId="164" fontId="5" fillId="34" borderId="18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64" fontId="0" fillId="0" borderId="18" xfId="0" applyNumberFormat="1" applyFont="1" applyBorder="1" applyAlignment="1" applyProtection="1">
      <alignment/>
      <protection/>
    </xf>
    <xf numFmtId="164" fontId="0" fillId="0" borderId="19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9" fontId="5" fillId="34" borderId="0" xfId="68" applyFont="1" applyFill="1" applyBorder="1" applyAlignment="1" applyProtection="1">
      <alignment/>
      <protection locked="0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164" fontId="0" fillId="34" borderId="20" xfId="0" applyNumberFormat="1" applyFont="1" applyFill="1" applyBorder="1" applyAlignment="1" applyProtection="1">
      <alignment/>
      <protection locked="0"/>
    </xf>
    <xf numFmtId="164" fontId="0" fillId="35" borderId="13" xfId="0" applyNumberFormat="1" applyFont="1" applyFill="1" applyBorder="1" applyAlignment="1" applyProtection="1">
      <alignment/>
      <protection/>
    </xf>
    <xf numFmtId="164" fontId="0" fillId="35" borderId="14" xfId="0" applyNumberFormat="1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9" fontId="5" fillId="34" borderId="16" xfId="68" applyFont="1" applyFill="1" applyBorder="1" applyAlignment="1" applyProtection="1">
      <alignment/>
      <protection locked="0"/>
    </xf>
    <xf numFmtId="165" fontId="5" fillId="34" borderId="18" xfId="0" applyNumberFormat="1" applyFont="1" applyFill="1" applyBorder="1" applyAlignment="1" applyProtection="1">
      <alignment/>
      <protection locked="0"/>
    </xf>
    <xf numFmtId="165" fontId="5" fillId="34" borderId="19" xfId="0" applyNumberFormat="1" applyFont="1" applyFill="1" applyBorder="1" applyAlignment="1" applyProtection="1">
      <alignment/>
      <protection locked="0"/>
    </xf>
    <xf numFmtId="0" fontId="0" fillId="0" borderId="18" xfId="0" applyFont="1" applyBorder="1" applyAlignment="1">
      <alignment horizontal="right"/>
    </xf>
    <xf numFmtId="0" fontId="0" fillId="0" borderId="18" xfId="0" applyBorder="1" applyAlignment="1">
      <alignment/>
    </xf>
    <xf numFmtId="164" fontId="0" fillId="0" borderId="18" xfId="0" applyNumberFormat="1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3" xfId="0" applyNumberFormat="1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Font="1" applyBorder="1" applyAlignment="1" applyProtection="1">
      <alignment horizontal="right"/>
      <protection/>
    </xf>
    <xf numFmtId="3" fontId="0" fillId="0" borderId="17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3" xfId="0" applyBorder="1" applyAlignment="1">
      <alignment/>
    </xf>
    <xf numFmtId="0" fontId="14" fillId="0" borderId="13" xfId="0" applyFont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 applyProtection="1">
      <alignment horizontal="right"/>
      <protection/>
    </xf>
    <xf numFmtId="3" fontId="0" fillId="0" borderId="23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 locked="0"/>
    </xf>
    <xf numFmtId="3" fontId="0" fillId="0" borderId="3" xfId="0" applyNumberFormat="1" applyFont="1" applyBorder="1" applyAlignment="1" applyProtection="1">
      <alignment/>
      <protection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17" xfId="0" applyFont="1" applyBorder="1" applyAlignment="1">
      <alignment horizontal="centerContinuous"/>
    </xf>
    <xf numFmtId="171" fontId="0" fillId="0" borderId="25" xfId="43" applyNumberFormat="1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34" borderId="18" xfId="0" applyFont="1" applyFill="1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0" fillId="36" borderId="23" xfId="0" applyFill="1" applyBorder="1" applyAlignment="1">
      <alignment/>
    </xf>
    <xf numFmtId="0" fontId="1" fillId="36" borderId="24" xfId="0" applyFont="1" applyFill="1" applyBorder="1" applyAlignment="1" applyProtection="1">
      <alignment horizontal="right"/>
      <protection/>
    </xf>
    <xf numFmtId="0" fontId="0" fillId="34" borderId="7" xfId="0" applyFont="1" applyFill="1" applyBorder="1" applyAlignment="1">
      <alignment horizontal="right"/>
    </xf>
    <xf numFmtId="0" fontId="0" fillId="0" borderId="26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right"/>
      <protection/>
    </xf>
    <xf numFmtId="0" fontId="0" fillId="0" borderId="27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right"/>
      <protection/>
    </xf>
    <xf numFmtId="171" fontId="0" fillId="0" borderId="26" xfId="43" applyNumberFormat="1" applyFont="1" applyBorder="1" applyAlignment="1" applyProtection="1">
      <alignment/>
      <protection locked="0"/>
    </xf>
    <xf numFmtId="0" fontId="14" fillId="0" borderId="0" xfId="0" applyFont="1" applyAlignment="1">
      <alignment horizontal="center"/>
    </xf>
    <xf numFmtId="171" fontId="0" fillId="0" borderId="26" xfId="0" applyNumberFormat="1" applyFont="1" applyBorder="1" applyAlignment="1" applyProtection="1">
      <alignment/>
      <protection locked="0"/>
    </xf>
    <xf numFmtId="0" fontId="0" fillId="0" borderId="27" xfId="0" applyFont="1" applyBorder="1" applyAlignment="1">
      <alignment/>
    </xf>
    <xf numFmtId="0" fontId="0" fillId="0" borderId="28" xfId="0" applyFont="1" applyBorder="1" applyAlignment="1" applyProtection="1">
      <alignment horizontal="right"/>
      <protection/>
    </xf>
    <xf numFmtId="0" fontId="0" fillId="0" borderId="23" xfId="0" applyFont="1" applyBorder="1" applyAlignment="1" applyProtection="1">
      <alignment horizontal="right"/>
      <protection/>
    </xf>
    <xf numFmtId="3" fontId="0" fillId="0" borderId="26" xfId="0" applyNumberFormat="1" applyFont="1" applyBorder="1" applyAlignment="1" applyProtection="1">
      <alignment/>
      <protection locked="0"/>
    </xf>
    <xf numFmtId="3" fontId="0" fillId="0" borderId="28" xfId="0" applyNumberFormat="1" applyFont="1" applyBorder="1" applyAlignment="1" applyProtection="1">
      <alignment/>
      <protection/>
    </xf>
    <xf numFmtId="164" fontId="0" fillId="34" borderId="7" xfId="0" applyNumberFormat="1" applyFont="1" applyFill="1" applyBorder="1" applyAlignment="1" applyProtection="1">
      <alignment horizontal="right"/>
      <protection locked="0"/>
    </xf>
    <xf numFmtId="164" fontId="0" fillId="34" borderId="13" xfId="0" applyNumberFormat="1" applyFont="1" applyFill="1" applyBorder="1" applyAlignment="1" applyProtection="1">
      <alignment horizontal="right"/>
      <protection locked="0"/>
    </xf>
    <xf numFmtId="3" fontId="0" fillId="0" borderId="25" xfId="0" applyNumberFormat="1" applyFont="1" applyBorder="1" applyAlignment="1" applyProtection="1">
      <alignment/>
      <protection/>
    </xf>
    <xf numFmtId="3" fontId="0" fillId="0" borderId="27" xfId="0" applyNumberFormat="1" applyFont="1" applyBorder="1" applyAlignment="1" applyProtection="1">
      <alignment/>
      <protection locked="0"/>
    </xf>
    <xf numFmtId="171" fontId="0" fillId="0" borderId="27" xfId="43" applyNumberFormat="1" applyFont="1" applyBorder="1" applyAlignment="1" applyProtection="1">
      <alignment/>
      <protection locked="0"/>
    </xf>
    <xf numFmtId="171" fontId="0" fillId="0" borderId="25" xfId="43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 applyProtection="1">
      <alignment/>
      <protection locked="0"/>
    </xf>
    <xf numFmtId="171" fontId="0" fillId="0" borderId="3" xfId="43" applyNumberFormat="1" applyFont="1" applyBorder="1" applyAlignment="1" applyProtection="1">
      <alignment/>
      <protection locked="0"/>
    </xf>
    <xf numFmtId="164" fontId="0" fillId="34" borderId="7" xfId="0" applyNumberFormat="1" applyFont="1" applyFill="1" applyBorder="1" applyAlignment="1">
      <alignment/>
    </xf>
    <xf numFmtId="0" fontId="0" fillId="0" borderId="26" xfId="0" applyBorder="1" applyAlignment="1">
      <alignment/>
    </xf>
    <xf numFmtId="171" fontId="0" fillId="0" borderId="26" xfId="0" applyNumberFormat="1" applyBorder="1" applyAlignment="1" applyProtection="1">
      <alignment/>
      <protection locked="0"/>
    </xf>
    <xf numFmtId="43" fontId="0" fillId="0" borderId="26" xfId="43" applyFont="1" applyBorder="1" applyAlignment="1" applyProtection="1">
      <alignment/>
      <protection locked="0"/>
    </xf>
    <xf numFmtId="171" fontId="0" fillId="0" borderId="26" xfId="43" applyNumberFormat="1" applyFont="1" applyBorder="1" applyAlignment="1" applyProtection="1">
      <alignment/>
      <protection locked="0"/>
    </xf>
    <xf numFmtId="164" fontId="0" fillId="34" borderId="7" xfId="0" applyNumberFormat="1" applyFont="1" applyFill="1" applyBorder="1" applyAlignment="1">
      <alignment horizontal="right"/>
    </xf>
    <xf numFmtId="0" fontId="0" fillId="0" borderId="18" xfId="0" applyFont="1" applyBorder="1" applyAlignment="1" applyProtection="1">
      <alignment horizontal="left"/>
      <protection locked="0"/>
    </xf>
    <xf numFmtId="3" fontId="0" fillId="0" borderId="25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3" fontId="0" fillId="0" borderId="17" xfId="0" applyNumberFormat="1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171" fontId="0" fillId="0" borderId="17" xfId="43" applyNumberFormat="1" applyFont="1" applyBorder="1" applyAlignment="1" applyProtection="1">
      <alignment/>
      <protection/>
    </xf>
    <xf numFmtId="171" fontId="0" fillId="0" borderId="25" xfId="43" applyNumberFormat="1" applyFont="1" applyBorder="1" applyAlignment="1" applyProtection="1">
      <alignment/>
      <protection/>
    </xf>
    <xf numFmtId="171" fontId="0" fillId="0" borderId="25" xfId="0" applyNumberFormat="1" applyBorder="1" applyAlignment="1" applyProtection="1">
      <alignment/>
      <protection locked="0"/>
    </xf>
    <xf numFmtId="171" fontId="0" fillId="0" borderId="23" xfId="43" applyNumberFormat="1" applyFont="1" applyBorder="1" applyAlignment="1" applyProtection="1">
      <alignment/>
      <protection/>
    </xf>
    <xf numFmtId="171" fontId="0" fillId="0" borderId="28" xfId="43" applyNumberFormat="1" applyFont="1" applyBorder="1" applyAlignment="1" applyProtection="1">
      <alignment/>
      <protection/>
    </xf>
    <xf numFmtId="0" fontId="1" fillId="36" borderId="29" xfId="0" applyFont="1" applyFill="1" applyBorder="1" applyAlignment="1" applyProtection="1">
      <alignment horizontal="right"/>
      <protection/>
    </xf>
    <xf numFmtId="0" fontId="1" fillId="36" borderId="30" xfId="0" applyFont="1" applyFill="1" applyBorder="1" applyAlignment="1" applyProtection="1">
      <alignment horizontal="right"/>
      <protection/>
    </xf>
    <xf numFmtId="0" fontId="1" fillId="36" borderId="31" xfId="0" applyFont="1" applyFill="1" applyBorder="1" applyAlignment="1" applyProtection="1">
      <alignment horizontal="right"/>
      <protection/>
    </xf>
    <xf numFmtId="3" fontId="0" fillId="36" borderId="31" xfId="0" applyNumberFormat="1" applyFont="1" applyFill="1" applyBorder="1" applyAlignment="1" applyProtection="1">
      <alignment/>
      <protection/>
    </xf>
    <xf numFmtId="171" fontId="0" fillId="0" borderId="26" xfId="43" applyNumberFormat="1" applyFont="1" applyBorder="1" applyAlignment="1" applyProtection="1">
      <alignment/>
      <protection/>
    </xf>
    <xf numFmtId="171" fontId="0" fillId="0" borderId="7" xfId="43" applyNumberFormat="1" applyFont="1" applyBorder="1" applyAlignment="1" applyProtection="1">
      <alignment/>
      <protection/>
    </xf>
    <xf numFmtId="171" fontId="0" fillId="36" borderId="30" xfId="43" applyNumberFormat="1" applyFont="1" applyFill="1" applyBorder="1" applyAlignment="1" applyProtection="1">
      <alignment/>
      <protection/>
    </xf>
    <xf numFmtId="171" fontId="0" fillId="36" borderId="31" xfId="43" applyNumberFormat="1" applyFont="1" applyFill="1" applyBorder="1" applyAlignment="1" applyProtection="1">
      <alignment/>
      <protection/>
    </xf>
    <xf numFmtId="3" fontId="0" fillId="0" borderId="32" xfId="0" applyNumberFormat="1" applyFont="1" applyBorder="1" applyAlignment="1" applyProtection="1">
      <alignment/>
      <protection locked="0"/>
    </xf>
    <xf numFmtId="164" fontId="5" fillId="34" borderId="7" xfId="0" applyNumberFormat="1" applyFont="1" applyFill="1" applyBorder="1" applyAlignment="1" applyProtection="1">
      <alignment horizontal="right"/>
      <protection locked="0"/>
    </xf>
    <xf numFmtId="171" fontId="0" fillId="0" borderId="17" xfId="43" applyNumberFormat="1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1" fillId="0" borderId="34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3" fontId="0" fillId="0" borderId="26" xfId="43" applyFont="1" applyBorder="1" applyAlignment="1" applyProtection="1">
      <alignment/>
      <protection locked="0"/>
    </xf>
    <xf numFmtId="43" fontId="5" fillId="0" borderId="3" xfId="43" applyFont="1" applyBorder="1" applyAlignment="1" applyProtection="1">
      <alignment/>
      <protection locked="0"/>
    </xf>
    <xf numFmtId="43" fontId="5" fillId="0" borderId="17" xfId="43" applyFont="1" applyBorder="1" applyAlignment="1" applyProtection="1">
      <alignment/>
      <protection locked="0"/>
    </xf>
    <xf numFmtId="0" fontId="14" fillId="34" borderId="13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/>
    </xf>
    <xf numFmtId="171" fontId="0" fillId="0" borderId="0" xfId="43" applyNumberFormat="1" applyFont="1" applyAlignment="1">
      <alignment/>
    </xf>
    <xf numFmtId="171" fontId="0" fillId="0" borderId="25" xfId="43" applyNumberFormat="1" applyFont="1" applyBorder="1" applyAlignment="1" applyProtection="1">
      <alignment/>
      <protection locked="0"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right"/>
      <protection/>
    </xf>
    <xf numFmtId="0" fontId="0" fillId="36" borderId="36" xfId="0" applyFill="1" applyBorder="1" applyAlignment="1">
      <alignment/>
    </xf>
    <xf numFmtId="0" fontId="1" fillId="36" borderId="37" xfId="0" applyFont="1" applyFill="1" applyBorder="1" applyAlignment="1" applyProtection="1">
      <alignment horizontal="right"/>
      <protection/>
    </xf>
    <xf numFmtId="0" fontId="0" fillId="36" borderId="38" xfId="0" applyFont="1" applyFill="1" applyBorder="1" applyAlignment="1" applyProtection="1">
      <alignment horizontal="right"/>
      <protection/>
    </xf>
    <xf numFmtId="3" fontId="0" fillId="36" borderId="36" xfId="0" applyNumberFormat="1" applyFont="1" applyFill="1" applyBorder="1" applyAlignment="1" applyProtection="1">
      <alignment/>
      <protection/>
    </xf>
    <xf numFmtId="171" fontId="0" fillId="36" borderId="36" xfId="43" applyNumberFormat="1" applyFont="1" applyFill="1" applyBorder="1" applyAlignment="1" applyProtection="1">
      <alignment/>
      <protection/>
    </xf>
    <xf numFmtId="171" fontId="0" fillId="36" borderId="38" xfId="4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" fillId="36" borderId="39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0" fillId="0" borderId="34" xfId="0" applyFont="1" applyFill="1" applyBorder="1" applyAlignment="1" applyProtection="1">
      <alignment horizontal="right"/>
      <protection/>
    </xf>
    <xf numFmtId="171" fontId="0" fillId="0" borderId="34" xfId="43" applyNumberFormat="1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0" fontId="0" fillId="35" borderId="37" xfId="0" applyFill="1" applyBorder="1" applyAlignment="1">
      <alignment/>
    </xf>
    <xf numFmtId="0" fontId="6" fillId="37" borderId="24" xfId="0" applyFont="1" applyFill="1" applyBorder="1" applyAlignment="1">
      <alignment/>
    </xf>
    <xf numFmtId="0" fontId="14" fillId="37" borderId="23" xfId="0" applyFont="1" applyFill="1" applyBorder="1" applyAlignment="1" applyProtection="1">
      <alignment horizontal="left"/>
      <protection/>
    </xf>
    <xf numFmtId="171" fontId="0" fillId="35" borderId="39" xfId="0" applyNumberFormat="1" applyFill="1" applyBorder="1" applyAlignment="1">
      <alignment/>
    </xf>
    <xf numFmtId="171" fontId="6" fillId="37" borderId="40" xfId="0" applyNumberFormat="1" applyFont="1" applyFill="1" applyBorder="1" applyAlignment="1">
      <alignment/>
    </xf>
    <xf numFmtId="0" fontId="1" fillId="36" borderId="37" xfId="0" applyFont="1" applyFill="1" applyBorder="1" applyAlignment="1" applyProtection="1">
      <alignment horizontal="left"/>
      <protection/>
    </xf>
    <xf numFmtId="0" fontId="0" fillId="36" borderId="37" xfId="0" applyFont="1" applyFill="1" applyBorder="1" applyAlignment="1" applyProtection="1">
      <alignment horizontal="right"/>
      <protection/>
    </xf>
    <xf numFmtId="0" fontId="1" fillId="34" borderId="18" xfId="0" applyFont="1" applyFill="1" applyBorder="1" applyAlignment="1" applyProtection="1">
      <alignment horizontal="right"/>
      <protection/>
    </xf>
    <xf numFmtId="0" fontId="0" fillId="34" borderId="18" xfId="0" applyFont="1" applyFill="1" applyBorder="1" applyAlignment="1" applyProtection="1">
      <alignment horizontal="right"/>
      <protection/>
    </xf>
    <xf numFmtId="0" fontId="0" fillId="34" borderId="34" xfId="0" applyFont="1" applyFill="1" applyBorder="1" applyAlignment="1" applyProtection="1">
      <alignment horizontal="left"/>
      <protection/>
    </xf>
    <xf numFmtId="0" fontId="0" fillId="34" borderId="34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0" fillId="0" borderId="3" xfId="0" applyFill="1" applyBorder="1" applyAlignment="1">
      <alignment/>
    </xf>
    <xf numFmtId="0" fontId="1" fillId="34" borderId="3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36" borderId="36" xfId="0" applyFont="1" applyFill="1" applyBorder="1" applyAlignment="1">
      <alignment/>
    </xf>
    <xf numFmtId="0" fontId="1" fillId="34" borderId="3" xfId="0" applyFont="1" applyFill="1" applyBorder="1" applyAlignment="1">
      <alignment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9" xfId="0" applyFont="1" applyFill="1" applyBorder="1" applyAlignment="1" applyProtection="1">
      <alignment horizontal="right"/>
      <protection/>
    </xf>
    <xf numFmtId="0" fontId="0" fillId="0" borderId="22" xfId="0" applyFont="1" applyFill="1" applyBorder="1" applyAlignment="1" applyProtection="1">
      <alignment horizontal="right"/>
      <protection/>
    </xf>
    <xf numFmtId="0" fontId="0" fillId="36" borderId="39" xfId="0" applyFont="1" applyFill="1" applyBorder="1" applyAlignment="1" applyProtection="1">
      <alignment horizontal="right"/>
      <protection/>
    </xf>
    <xf numFmtId="0" fontId="0" fillId="34" borderId="16" xfId="0" applyFont="1" applyFill="1" applyBorder="1" applyAlignment="1" applyProtection="1">
      <alignment horizontal="right"/>
      <protection/>
    </xf>
    <xf numFmtId="171" fontId="0" fillId="0" borderId="16" xfId="43" applyNumberFormat="1" applyFont="1" applyFill="1" applyBorder="1" applyAlignment="1" applyProtection="1">
      <alignment horizontal="right"/>
      <protection/>
    </xf>
    <xf numFmtId="171" fontId="0" fillId="0" borderId="19" xfId="43" applyNumberFormat="1" applyFont="1" applyFill="1" applyBorder="1" applyAlignment="1" applyProtection="1">
      <alignment horizontal="right"/>
      <protection/>
    </xf>
    <xf numFmtId="171" fontId="0" fillId="0" borderId="16" xfId="0" applyNumberFormat="1" applyFont="1" applyFill="1" applyBorder="1" applyAlignment="1" applyProtection="1">
      <alignment horizontal="right"/>
      <protection/>
    </xf>
    <xf numFmtId="171" fontId="0" fillId="0" borderId="19" xfId="0" applyNumberFormat="1" applyFont="1" applyFill="1" applyBorder="1" applyAlignment="1" applyProtection="1">
      <alignment horizontal="right"/>
      <protection/>
    </xf>
    <xf numFmtId="0" fontId="0" fillId="0" borderId="16" xfId="0" applyBorder="1" applyAlignment="1">
      <alignment/>
    </xf>
    <xf numFmtId="0" fontId="0" fillId="35" borderId="39" xfId="0" applyFill="1" applyBorder="1" applyAlignment="1">
      <alignment/>
    </xf>
    <xf numFmtId="0" fontId="6" fillId="37" borderId="40" xfId="0" applyFont="1" applyFill="1" applyBorder="1" applyAlignment="1">
      <alignment/>
    </xf>
    <xf numFmtId="171" fontId="5" fillId="0" borderId="22" xfId="43" applyNumberFormat="1" applyFont="1" applyFill="1" applyBorder="1" applyAlignment="1" applyProtection="1">
      <alignment/>
      <protection/>
    </xf>
    <xf numFmtId="171" fontId="5" fillId="0" borderId="16" xfId="43" applyNumberFormat="1" applyFont="1" applyFill="1" applyBorder="1" applyAlignment="1" applyProtection="1">
      <alignment/>
      <protection/>
    </xf>
    <xf numFmtId="171" fontId="5" fillId="0" borderId="19" xfId="43" applyNumberFormat="1" applyFont="1" applyFill="1" applyBorder="1" applyAlignment="1" applyProtection="1">
      <alignment/>
      <protection/>
    </xf>
    <xf numFmtId="171" fontId="0" fillId="36" borderId="39" xfId="43" applyNumberFormat="1" applyFont="1" applyFill="1" applyBorder="1" applyAlignment="1" applyProtection="1">
      <alignment/>
      <protection/>
    </xf>
    <xf numFmtId="171" fontId="0" fillId="34" borderId="16" xfId="43" applyNumberFormat="1" applyFont="1" applyFill="1" applyBorder="1" applyAlignment="1" applyProtection="1">
      <alignment/>
      <protection/>
    </xf>
    <xf numFmtId="171" fontId="0" fillId="0" borderId="16" xfId="43" applyNumberFormat="1" applyFont="1" applyFill="1" applyBorder="1" applyAlignment="1" applyProtection="1">
      <alignment/>
      <protection/>
    </xf>
    <xf numFmtId="171" fontId="0" fillId="0" borderId="19" xfId="43" applyNumberFormat="1" applyFont="1" applyFill="1" applyBorder="1" applyAlignment="1" applyProtection="1">
      <alignment/>
      <protection/>
    </xf>
    <xf numFmtId="0" fontId="0" fillId="34" borderId="41" xfId="0" applyFont="1" applyFill="1" applyBorder="1" applyAlignment="1" applyProtection="1">
      <alignment horizontal="right"/>
      <protection/>
    </xf>
    <xf numFmtId="171" fontId="0" fillId="34" borderId="15" xfId="43" applyNumberFormat="1" applyFont="1" applyFill="1" applyBorder="1" applyAlignment="1" applyProtection="1">
      <alignment/>
      <protection/>
    </xf>
    <xf numFmtId="171" fontId="0" fillId="34" borderId="41" xfId="43" applyNumberFormat="1" applyFont="1" applyFill="1" applyBorder="1" applyAlignment="1" applyProtection="1">
      <alignment/>
      <protection/>
    </xf>
    <xf numFmtId="0" fontId="0" fillId="0" borderId="34" xfId="0" applyFill="1" applyBorder="1" applyAlignment="1">
      <alignment/>
    </xf>
    <xf numFmtId="0" fontId="1" fillId="0" borderId="34" xfId="0" applyFont="1" applyFill="1" applyBorder="1" applyAlignment="1" applyProtection="1">
      <alignment horizontal="right"/>
      <protection/>
    </xf>
    <xf numFmtId="0" fontId="1" fillId="34" borderId="17" xfId="0" applyFont="1" applyFill="1" applyBorder="1" applyAlignment="1">
      <alignment/>
    </xf>
    <xf numFmtId="0" fontId="0" fillId="34" borderId="19" xfId="0" applyFont="1" applyFill="1" applyBorder="1" applyAlignment="1" applyProtection="1">
      <alignment horizontal="right"/>
      <protection/>
    </xf>
    <xf numFmtId="171" fontId="0" fillId="34" borderId="19" xfId="43" applyNumberFormat="1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 horizontal="right"/>
      <protection/>
    </xf>
    <xf numFmtId="0" fontId="0" fillId="34" borderId="14" xfId="0" applyFont="1" applyFill="1" applyBorder="1" applyAlignment="1" applyProtection="1">
      <alignment horizontal="right"/>
      <protection/>
    </xf>
    <xf numFmtId="171" fontId="0" fillId="34" borderId="14" xfId="43" applyNumberFormat="1" applyFont="1" applyFill="1" applyBorder="1" applyAlignment="1" applyProtection="1">
      <alignment/>
      <protection/>
    </xf>
    <xf numFmtId="0" fontId="14" fillId="34" borderId="17" xfId="0" applyFont="1" applyFill="1" applyBorder="1" applyAlignment="1" applyProtection="1">
      <alignment/>
      <protection/>
    </xf>
    <xf numFmtId="0" fontId="1" fillId="35" borderId="23" xfId="0" applyFont="1" applyFill="1" applyBorder="1" applyAlignment="1" applyProtection="1">
      <alignment horizontal="left"/>
      <protection/>
    </xf>
    <xf numFmtId="0" fontId="14" fillId="0" borderId="17" xfId="0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/>
    </xf>
    <xf numFmtId="0" fontId="14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4" fillId="34" borderId="23" xfId="0" applyFont="1" applyFill="1" applyBorder="1" applyAlignment="1" applyProtection="1">
      <alignment/>
      <protection/>
    </xf>
    <xf numFmtId="0" fontId="0" fillId="34" borderId="24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6" fillId="37" borderId="3" xfId="0" applyFont="1" applyFill="1" applyBorder="1" applyAlignment="1" applyProtection="1">
      <alignment/>
      <protection locked="0"/>
    </xf>
    <xf numFmtId="0" fontId="6" fillId="37" borderId="26" xfId="0" applyFont="1" applyFill="1" applyBorder="1" applyAlignment="1">
      <alignment/>
    </xf>
    <xf numFmtId="171" fontId="6" fillId="37" borderId="0" xfId="43" applyNumberFormat="1" applyFont="1" applyFill="1" applyBorder="1" applyAlignment="1" applyProtection="1">
      <alignment/>
      <protection/>
    </xf>
    <xf numFmtId="3" fontId="6" fillId="37" borderId="26" xfId="0" applyNumberFormat="1" applyFont="1" applyFill="1" applyBorder="1" applyAlignment="1" applyProtection="1">
      <alignment/>
      <protection/>
    </xf>
    <xf numFmtId="171" fontId="6" fillId="37" borderId="26" xfId="43" applyNumberFormat="1" applyFont="1" applyFill="1" applyBorder="1" applyAlignment="1" applyProtection="1">
      <alignment/>
      <protection/>
    </xf>
    <xf numFmtId="0" fontId="14" fillId="35" borderId="29" xfId="0" applyFont="1" applyFill="1" applyBorder="1" applyAlignment="1">
      <alignment/>
    </xf>
    <xf numFmtId="0" fontId="14" fillId="35" borderId="42" xfId="0" applyFont="1" applyFill="1" applyBorder="1" applyAlignment="1" applyProtection="1">
      <alignment horizontal="right"/>
      <protection/>
    </xf>
    <xf numFmtId="0" fontId="6" fillId="35" borderId="31" xfId="0" applyFont="1" applyFill="1" applyBorder="1" applyAlignment="1" applyProtection="1">
      <alignment horizontal="right"/>
      <protection/>
    </xf>
    <xf numFmtId="171" fontId="6" fillId="35" borderId="31" xfId="43" applyNumberFormat="1" applyFont="1" applyFill="1" applyBorder="1" applyAlignment="1" applyProtection="1">
      <alignment/>
      <protection/>
    </xf>
    <xf numFmtId="171" fontId="6" fillId="35" borderId="42" xfId="43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/>
    </xf>
    <xf numFmtId="171" fontId="0" fillId="0" borderId="18" xfId="43" applyNumberFormat="1" applyFont="1" applyBorder="1" applyAlignment="1">
      <alignment/>
    </xf>
    <xf numFmtId="171" fontId="0" fillId="0" borderId="18" xfId="43" applyNumberFormat="1" applyFont="1" applyBorder="1" applyAlignment="1" applyProtection="1">
      <alignment/>
      <protection/>
    </xf>
    <xf numFmtId="3" fontId="0" fillId="0" borderId="7" xfId="0" applyNumberFormat="1" applyFont="1" applyBorder="1" applyAlignment="1" applyProtection="1">
      <alignment/>
      <protection/>
    </xf>
    <xf numFmtId="171" fontId="0" fillId="0" borderId="16" xfId="43" applyNumberFormat="1" applyFont="1" applyBorder="1" applyAlignment="1" applyProtection="1">
      <alignment/>
      <protection/>
    </xf>
    <xf numFmtId="171" fontId="0" fillId="0" borderId="0" xfId="43" applyNumberFormat="1" applyFont="1" applyBorder="1" applyAlignment="1">
      <alignment/>
    </xf>
    <xf numFmtId="0" fontId="14" fillId="0" borderId="0" xfId="0" applyFont="1" applyAlignment="1">
      <alignment/>
    </xf>
    <xf numFmtId="165" fontId="20" fillId="0" borderId="0" xfId="0" applyNumberFormat="1" applyFont="1" applyAlignment="1">
      <alignment/>
    </xf>
    <xf numFmtId="171" fontId="0" fillId="0" borderId="0" xfId="43" applyNumberFormat="1" applyFont="1" applyAlignment="1">
      <alignment horizontal="right"/>
    </xf>
    <xf numFmtId="0" fontId="0" fillId="0" borderId="18" xfId="0" applyFont="1" applyBorder="1" applyAlignment="1" applyProtection="1">
      <alignment horizontal="left"/>
      <protection/>
    </xf>
    <xf numFmtId="165" fontId="20" fillId="0" borderId="18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171" fontId="0" fillId="0" borderId="14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14" xfId="0" applyNumberFormat="1" applyFont="1" applyBorder="1" applyAlignment="1">
      <alignment/>
    </xf>
    <xf numFmtId="171" fontId="0" fillId="0" borderId="18" xfId="0" applyNumberFormat="1" applyFont="1" applyBorder="1" applyAlignment="1">
      <alignment/>
    </xf>
    <xf numFmtId="0" fontId="0" fillId="34" borderId="18" xfId="0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1" fillId="34" borderId="18" xfId="0" applyFont="1" applyFill="1" applyBorder="1" applyAlignment="1" applyProtection="1">
      <alignment horizontal="left"/>
      <protection/>
    </xf>
    <xf numFmtId="171" fontId="0" fillId="34" borderId="18" xfId="43" applyNumberFormat="1" applyFont="1" applyFill="1" applyBorder="1" applyAlignment="1">
      <alignment/>
    </xf>
    <xf numFmtId="165" fontId="0" fillId="34" borderId="18" xfId="0" applyNumberFormat="1" applyFont="1" applyFill="1" applyBorder="1" applyAlignment="1">
      <alignment horizontal="right"/>
    </xf>
    <xf numFmtId="0" fontId="14" fillId="35" borderId="14" xfId="0" applyFont="1" applyFill="1" applyBorder="1" applyAlignment="1">
      <alignment horizontal="left"/>
    </xf>
    <xf numFmtId="165" fontId="0" fillId="35" borderId="14" xfId="0" applyNumberFormat="1" applyFont="1" applyFill="1" applyBorder="1" applyAlignment="1">
      <alignment/>
    </xf>
    <xf numFmtId="171" fontId="0" fillId="35" borderId="14" xfId="43" applyNumberFormat="1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14" fillId="37" borderId="14" xfId="0" applyFont="1" applyFill="1" applyBorder="1" applyAlignment="1">
      <alignment horizontal="left"/>
    </xf>
    <xf numFmtId="0" fontId="0" fillId="37" borderId="14" xfId="0" applyFont="1" applyFill="1" applyBorder="1" applyAlignment="1">
      <alignment/>
    </xf>
    <xf numFmtId="171" fontId="0" fillId="37" borderId="14" xfId="0" applyNumberFormat="1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0" fillId="36" borderId="0" xfId="0" applyFont="1" applyFill="1" applyAlignment="1">
      <alignment horizontal="right"/>
    </xf>
    <xf numFmtId="165" fontId="20" fillId="36" borderId="0" xfId="0" applyNumberFormat="1" applyFont="1" applyFill="1" applyAlignment="1">
      <alignment/>
    </xf>
    <xf numFmtId="171" fontId="0" fillId="36" borderId="0" xfId="43" applyNumberFormat="1" applyFont="1" applyFill="1" applyAlignment="1">
      <alignment/>
    </xf>
    <xf numFmtId="4" fontId="5" fillId="0" borderId="26" xfId="0" applyNumberFormat="1" applyFont="1" applyFill="1" applyBorder="1" applyAlignment="1" applyProtection="1">
      <alignment/>
      <protection locked="0"/>
    </xf>
    <xf numFmtId="171" fontId="0" fillId="0" borderId="26" xfId="43" applyNumberFormat="1" applyFont="1" applyFill="1" applyBorder="1" applyAlignment="1" applyProtection="1">
      <alignment/>
      <protection locked="0"/>
    </xf>
    <xf numFmtId="171" fontId="0" fillId="0" borderId="3" xfId="43" applyNumberFormat="1" applyFont="1" applyFill="1" applyBorder="1" applyAlignment="1" applyProtection="1">
      <alignment/>
      <protection locked="0"/>
    </xf>
    <xf numFmtId="171" fontId="0" fillId="0" borderId="26" xfId="43" applyNumberFormat="1" applyFont="1" applyFill="1" applyBorder="1" applyAlignment="1">
      <alignment horizontal="right"/>
    </xf>
    <xf numFmtId="0" fontId="0" fillId="34" borderId="1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4" borderId="40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0" fillId="0" borderId="25" xfId="0" applyBorder="1" applyAlignment="1">
      <alignment/>
    </xf>
    <xf numFmtId="0" fontId="21" fillId="0" borderId="0" xfId="0" applyFont="1" applyAlignment="1">
      <alignment/>
    </xf>
    <xf numFmtId="0" fontId="22" fillId="0" borderId="18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5" fillId="34" borderId="7" xfId="0" applyFont="1" applyFill="1" applyBorder="1" applyAlignment="1" applyProtection="1">
      <alignment/>
      <protection locked="0"/>
    </xf>
    <xf numFmtId="9" fontId="5" fillId="35" borderId="0" xfId="68" applyFont="1" applyFill="1" applyBorder="1" applyAlignment="1" applyProtection="1">
      <alignment horizontal="right"/>
      <protection/>
    </xf>
    <xf numFmtId="9" fontId="5" fillId="35" borderId="18" xfId="68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5" fillId="3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5" fillId="35" borderId="13" xfId="0" applyFont="1" applyFill="1" applyBorder="1" applyAlignment="1" applyProtection="1">
      <alignment/>
      <protection locked="0"/>
    </xf>
    <xf numFmtId="0" fontId="5" fillId="35" borderId="14" xfId="0" applyFont="1" applyFill="1" applyBorder="1" applyAlignment="1" applyProtection="1">
      <alignment/>
      <protection locked="0"/>
    </xf>
    <xf numFmtId="0" fontId="5" fillId="35" borderId="15" xfId="0" applyFont="1" applyFill="1" applyBorder="1" applyAlignment="1" applyProtection="1">
      <alignment/>
      <protection locked="0"/>
    </xf>
    <xf numFmtId="164" fontId="5" fillId="34" borderId="21" xfId="0" applyNumberFormat="1" applyFont="1" applyFill="1" applyBorder="1" applyAlignment="1" applyProtection="1">
      <alignment/>
      <protection locked="0"/>
    </xf>
    <xf numFmtId="164" fontId="5" fillId="34" borderId="20" xfId="0" applyNumberFormat="1" applyFont="1" applyFill="1" applyBorder="1" applyAlignment="1" applyProtection="1">
      <alignment/>
      <protection/>
    </xf>
    <xf numFmtId="164" fontId="0" fillId="35" borderId="18" xfId="0" applyNumberFormat="1" applyFont="1" applyFill="1" applyBorder="1" applyAlignment="1" applyProtection="1">
      <alignment/>
      <protection/>
    </xf>
    <xf numFmtId="164" fontId="0" fillId="35" borderId="19" xfId="0" applyNumberFormat="1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 locked="0"/>
    </xf>
    <xf numFmtId="164" fontId="0" fillId="0" borderId="20" xfId="0" applyNumberFormat="1" applyFont="1" applyBorder="1" applyAlignment="1" applyProtection="1">
      <alignment/>
      <protection/>
    </xf>
    <xf numFmtId="164" fontId="0" fillId="0" borderId="22" xfId="0" applyNumberFormat="1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right"/>
      <protection/>
    </xf>
    <xf numFmtId="0" fontId="0" fillId="0" borderId="22" xfId="0" applyFont="1" applyBorder="1" applyAlignment="1" applyProtection="1">
      <alignment horizontal="right"/>
      <protection/>
    </xf>
    <xf numFmtId="164" fontId="0" fillId="35" borderId="0" xfId="0" applyNumberFormat="1" applyFont="1" applyFill="1" applyBorder="1" applyAlignment="1" applyProtection="1">
      <alignment/>
      <protection/>
    </xf>
    <xf numFmtId="164" fontId="0" fillId="35" borderId="16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0" fillId="37" borderId="14" xfId="0" applyFont="1" applyFill="1" applyBorder="1" applyAlignment="1">
      <alignment horizontal="right"/>
    </xf>
    <xf numFmtId="0" fontId="0" fillId="37" borderId="14" xfId="0" applyFont="1" applyFill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 horizontal="right"/>
    </xf>
    <xf numFmtId="164" fontId="5" fillId="37" borderId="0" xfId="0" applyNumberFormat="1" applyFont="1" applyFill="1" applyBorder="1" applyAlignment="1" applyProtection="1">
      <alignment/>
      <protection/>
    </xf>
    <xf numFmtId="164" fontId="0" fillId="37" borderId="0" xfId="0" applyNumberFormat="1" applyFont="1" applyFill="1" applyBorder="1" applyAlignment="1" applyProtection="1">
      <alignment/>
      <protection/>
    </xf>
    <xf numFmtId="164" fontId="5" fillId="37" borderId="18" xfId="0" applyNumberFormat="1" applyFont="1" applyFill="1" applyBorder="1" applyAlignment="1" applyProtection="1">
      <alignment/>
      <protection/>
    </xf>
    <xf numFmtId="164" fontId="0" fillId="34" borderId="0" xfId="0" applyNumberFormat="1" applyFont="1" applyFill="1" applyBorder="1" applyAlignment="1" applyProtection="1">
      <alignment/>
      <protection/>
    </xf>
    <xf numFmtId="164" fontId="0" fillId="34" borderId="18" xfId="0" applyNumberFormat="1" applyFont="1" applyFill="1" applyBorder="1" applyAlignment="1" applyProtection="1">
      <alignment/>
      <protection/>
    </xf>
    <xf numFmtId="164" fontId="0" fillId="37" borderId="18" xfId="0" applyNumberFormat="1" applyFont="1" applyFill="1" applyBorder="1" applyAlignment="1" applyProtection="1">
      <alignment/>
      <protection/>
    </xf>
    <xf numFmtId="0" fontId="5" fillId="0" borderId="7" xfId="0" applyFont="1" applyBorder="1" applyAlignment="1" applyProtection="1">
      <alignment horizontal="left"/>
      <protection/>
    </xf>
    <xf numFmtId="0" fontId="5" fillId="0" borderId="7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0" fillId="37" borderId="3" xfId="0" applyFont="1" applyFill="1" applyBorder="1" applyAlignment="1" applyProtection="1">
      <alignment horizontal="left"/>
      <protection/>
    </xf>
    <xf numFmtId="0" fontId="0" fillId="37" borderId="0" xfId="0" applyFont="1" applyFill="1" applyAlignment="1">
      <alignment/>
    </xf>
    <xf numFmtId="178" fontId="0" fillId="0" borderId="3" xfId="0" applyNumberFormat="1" applyFont="1" applyBorder="1" applyAlignment="1">
      <alignment/>
    </xf>
    <xf numFmtId="178" fontId="0" fillId="0" borderId="3" xfId="0" applyNumberFormat="1" applyFont="1" applyBorder="1" applyAlignment="1" applyProtection="1">
      <alignment/>
      <protection locked="0"/>
    </xf>
    <xf numFmtId="9" fontId="0" fillId="0" borderId="26" xfId="68" applyFont="1" applyBorder="1" applyAlignment="1" applyProtection="1">
      <alignment/>
      <protection locked="0"/>
    </xf>
    <xf numFmtId="171" fontId="0" fillId="0" borderId="16" xfId="0" applyNumberFormat="1" applyBorder="1" applyAlignment="1" applyProtection="1">
      <alignment/>
      <protection locked="0"/>
    </xf>
    <xf numFmtId="0" fontId="14" fillId="0" borderId="21" xfId="0" applyFont="1" applyBorder="1" applyAlignment="1">
      <alignment horizontal="centerContinuous"/>
    </xf>
    <xf numFmtId="0" fontId="21" fillId="0" borderId="20" xfId="0" applyFont="1" applyBorder="1" applyAlignment="1">
      <alignment horizontal="left"/>
    </xf>
    <xf numFmtId="0" fontId="6" fillId="0" borderId="2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0" fillId="0" borderId="19" xfId="0" applyFont="1" applyBorder="1" applyAlignment="1">
      <alignment/>
    </xf>
    <xf numFmtId="37" fontId="5" fillId="0" borderId="32" xfId="43" applyNumberFormat="1" applyFont="1" applyBorder="1" applyAlignment="1" applyProtection="1">
      <alignment/>
      <protection/>
    </xf>
    <xf numFmtId="43" fontId="0" fillId="38" borderId="26" xfId="43" applyFont="1" applyFill="1" applyBorder="1" applyAlignment="1" applyProtection="1">
      <alignment/>
      <protection locked="0"/>
    </xf>
    <xf numFmtId="0" fontId="1" fillId="0" borderId="27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178" fontId="0" fillId="39" borderId="26" xfId="0" applyNumberFormat="1" applyFont="1" applyFill="1" applyBorder="1" applyAlignment="1">
      <alignment/>
    </xf>
    <xf numFmtId="178" fontId="0" fillId="39" borderId="25" xfId="0" applyNumberFormat="1" applyFont="1" applyFill="1" applyBorder="1" applyAlignment="1">
      <alignment/>
    </xf>
    <xf numFmtId="0" fontId="15" fillId="0" borderId="0" xfId="65" applyFont="1">
      <alignment/>
      <protection/>
    </xf>
    <xf numFmtId="0" fontId="0" fillId="0" borderId="0" xfId="65">
      <alignment/>
      <protection/>
    </xf>
    <xf numFmtId="0" fontId="0" fillId="0" borderId="0" xfId="65" applyBorder="1">
      <alignment/>
      <protection/>
    </xf>
    <xf numFmtId="167" fontId="0" fillId="0" borderId="0" xfId="65" applyNumberFormat="1" applyAlignment="1" applyProtection="1">
      <alignment horizontal="left"/>
      <protection/>
    </xf>
    <xf numFmtId="0" fontId="59" fillId="0" borderId="0" xfId="65" applyFont="1" applyBorder="1">
      <alignment/>
      <protection/>
    </xf>
    <xf numFmtId="0" fontId="0" fillId="0" borderId="0" xfId="65" applyAlignment="1">
      <alignment horizontal="right"/>
      <protection/>
    </xf>
    <xf numFmtId="0" fontId="0" fillId="0" borderId="18" xfId="65" applyBorder="1" applyAlignment="1" applyProtection="1">
      <alignment horizontal="right"/>
      <protection/>
    </xf>
    <xf numFmtId="167" fontId="0" fillId="0" borderId="18" xfId="65" applyNumberFormat="1" applyBorder="1" applyAlignment="1" applyProtection="1">
      <alignment horizontal="right"/>
      <protection/>
    </xf>
    <xf numFmtId="0" fontId="0" fillId="0" borderId="18" xfId="65" applyBorder="1" applyAlignment="1">
      <alignment horizontal="right"/>
      <protection/>
    </xf>
    <xf numFmtId="164" fontId="0" fillId="0" borderId="0" xfId="65" applyNumberFormat="1" applyProtection="1">
      <alignment/>
      <protection/>
    </xf>
    <xf numFmtId="171" fontId="0" fillId="0" borderId="0" xfId="43" applyNumberFormat="1" applyFont="1" applyAlignment="1">
      <alignment/>
    </xf>
    <xf numFmtId="0" fontId="0" fillId="0" borderId="0" xfId="65" applyBorder="1" applyProtection="1">
      <alignment/>
      <protection/>
    </xf>
    <xf numFmtId="43" fontId="0" fillId="0" borderId="0" xfId="43" applyFont="1" applyBorder="1" applyAlignment="1" applyProtection="1">
      <alignment/>
      <protection/>
    </xf>
    <xf numFmtId="164" fontId="0" fillId="0" borderId="0" xfId="65" applyNumberFormat="1" applyBorder="1" applyProtection="1">
      <alignment/>
      <protection/>
    </xf>
    <xf numFmtId="0" fontId="0" fillId="0" borderId="18" xfId="65" applyBorder="1" applyProtection="1">
      <alignment/>
      <protection/>
    </xf>
    <xf numFmtId="43" fontId="0" fillId="0" borderId="18" xfId="43" applyFont="1" applyBorder="1" applyAlignment="1" applyProtection="1">
      <alignment/>
      <protection/>
    </xf>
    <xf numFmtId="164" fontId="0" fillId="0" borderId="18" xfId="65" applyNumberFormat="1" applyBorder="1" applyProtection="1">
      <alignment/>
      <protection/>
    </xf>
    <xf numFmtId="171" fontId="0" fillId="0" borderId="18" xfId="43" applyNumberFormat="1" applyFont="1" applyBorder="1" applyAlignment="1">
      <alignment/>
    </xf>
    <xf numFmtId="167" fontId="0" fillId="0" borderId="0" xfId="65" applyNumberFormat="1" applyBorder="1" applyProtection="1">
      <alignment/>
      <protection/>
    </xf>
    <xf numFmtId="0" fontId="25" fillId="0" borderId="0" xfId="65" applyFont="1" applyBorder="1">
      <alignment/>
      <protection/>
    </xf>
    <xf numFmtId="0" fontId="15" fillId="0" borderId="21" xfId="65" applyFont="1" applyBorder="1" applyAlignment="1" applyProtection="1">
      <alignment horizontal="left"/>
      <protection/>
    </xf>
    <xf numFmtId="0" fontId="15" fillId="0" borderId="20" xfId="65" applyFont="1" applyBorder="1">
      <alignment/>
      <protection/>
    </xf>
    <xf numFmtId="0" fontId="15" fillId="0" borderId="22" xfId="65" applyFont="1" applyBorder="1">
      <alignment/>
      <protection/>
    </xf>
    <xf numFmtId="0" fontId="0" fillId="0" borderId="3" xfId="65" applyBorder="1">
      <alignment/>
      <protection/>
    </xf>
    <xf numFmtId="0" fontId="0" fillId="0" borderId="16" xfId="65" applyBorder="1">
      <alignment/>
      <protection/>
    </xf>
    <xf numFmtId="0" fontId="0" fillId="0" borderId="3" xfId="65" applyBorder="1" applyAlignment="1" applyProtection="1">
      <alignment horizontal="left"/>
      <protection/>
    </xf>
    <xf numFmtId="171" fontId="5" fillId="0" borderId="0" xfId="43" applyNumberFormat="1" applyFont="1" applyBorder="1" applyAlignment="1" applyProtection="1">
      <alignment/>
      <protection locked="0"/>
    </xf>
    <xf numFmtId="164" fontId="5" fillId="0" borderId="0" xfId="65" applyNumberFormat="1" applyFont="1" applyBorder="1" applyProtection="1">
      <alignment/>
      <protection locked="0"/>
    </xf>
    <xf numFmtId="182" fontId="0" fillId="0" borderId="0" xfId="65" applyNumberFormat="1" applyBorder="1" applyProtection="1">
      <alignment/>
      <protection/>
    </xf>
    <xf numFmtId="167" fontId="5" fillId="0" borderId="0" xfId="65" applyNumberFormat="1" applyFont="1" applyBorder="1" applyProtection="1">
      <alignment/>
      <protection locked="0"/>
    </xf>
    <xf numFmtId="167" fontId="5" fillId="0" borderId="16" xfId="65" applyNumberFormat="1" applyFont="1" applyBorder="1" applyAlignment="1" applyProtection="1">
      <alignment horizontal="right"/>
      <protection locked="0"/>
    </xf>
    <xf numFmtId="167" fontId="0" fillId="0" borderId="3" xfId="65" applyNumberFormat="1" applyBorder="1" applyAlignment="1" applyProtection="1">
      <alignment horizontal="left"/>
      <protection/>
    </xf>
    <xf numFmtId="167" fontId="5" fillId="0" borderId="0" xfId="65" applyNumberFormat="1" applyFont="1" applyBorder="1" applyAlignment="1" applyProtection="1">
      <alignment horizontal="right"/>
      <protection locked="0"/>
    </xf>
    <xf numFmtId="0" fontId="21" fillId="0" borderId="0" xfId="65" applyNumberFormat="1" applyFont="1" applyFill="1" applyBorder="1" applyProtection="1">
      <alignment/>
      <protection/>
    </xf>
    <xf numFmtId="0" fontId="0" fillId="0" borderId="17" xfId="65" applyBorder="1" applyAlignment="1" applyProtection="1">
      <alignment horizontal="right"/>
      <protection/>
    </xf>
    <xf numFmtId="167" fontId="0" fillId="0" borderId="19" xfId="65" applyNumberFormat="1" applyBorder="1" applyAlignment="1" applyProtection="1">
      <alignment horizontal="right"/>
      <protection/>
    </xf>
    <xf numFmtId="14" fontId="0" fillId="0" borderId="3" xfId="65" applyNumberFormat="1" applyBorder="1" applyProtection="1">
      <alignment/>
      <protection/>
    </xf>
    <xf numFmtId="43" fontId="0" fillId="0" borderId="16" xfId="43" applyFont="1" applyBorder="1" applyAlignment="1" applyProtection="1">
      <alignment/>
      <protection/>
    </xf>
    <xf numFmtId="14" fontId="0" fillId="0" borderId="17" xfId="65" applyNumberFormat="1" applyBorder="1" applyProtection="1">
      <alignment/>
      <protection/>
    </xf>
    <xf numFmtId="43" fontId="0" fillId="0" borderId="19" xfId="43" applyFont="1" applyBorder="1" applyAlignment="1" applyProtection="1">
      <alignment/>
      <protection/>
    </xf>
    <xf numFmtId="0" fontId="0" fillId="0" borderId="17" xfId="65" applyBorder="1">
      <alignment/>
      <protection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43" fontId="0" fillId="0" borderId="0" xfId="43" applyFont="1" applyBorder="1" applyAlignment="1">
      <alignment/>
    </xf>
    <xf numFmtId="43" fontId="0" fillId="0" borderId="16" xfId="43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16" xfId="0" applyNumberFormat="1" applyFont="1" applyBorder="1" applyAlignment="1">
      <alignment/>
    </xf>
    <xf numFmtId="171" fontId="0" fillId="0" borderId="0" xfId="43" applyNumberFormat="1" applyFont="1" applyBorder="1" applyAlignment="1">
      <alignment/>
    </xf>
    <xf numFmtId="171" fontId="0" fillId="0" borderId="16" xfId="43" applyNumberFormat="1" applyFont="1" applyBorder="1" applyAlignment="1">
      <alignment/>
    </xf>
    <xf numFmtId="170" fontId="0" fillId="0" borderId="0" xfId="43" applyNumberFormat="1" applyFont="1" applyBorder="1" applyAlignment="1">
      <alignment/>
    </xf>
    <xf numFmtId="170" fontId="0" fillId="0" borderId="16" xfId="43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right"/>
    </xf>
    <xf numFmtId="170" fontId="0" fillId="0" borderId="18" xfId="43" applyNumberFormat="1" applyFont="1" applyBorder="1" applyAlignment="1">
      <alignment/>
    </xf>
    <xf numFmtId="170" fontId="0" fillId="0" borderId="19" xfId="43" applyNumberFormat="1" applyFont="1" applyBorder="1" applyAlignment="1">
      <alignment/>
    </xf>
    <xf numFmtId="43" fontId="25" fillId="0" borderId="0" xfId="65" applyNumberFormat="1" applyFont="1" applyBorder="1">
      <alignment/>
      <protection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3" xfId="0" applyNumberFormat="1" applyFont="1" applyFill="1" applyBorder="1" applyAlignment="1" applyProtection="1">
      <alignment/>
      <protection locked="0"/>
    </xf>
    <xf numFmtId="171" fontId="0" fillId="0" borderId="27" xfId="43" applyNumberFormat="1" applyFont="1" applyFill="1" applyBorder="1" applyAlignment="1" applyProtection="1">
      <alignment/>
      <protection locked="0"/>
    </xf>
    <xf numFmtId="0" fontId="0" fillId="0" borderId="26" xfId="0" applyFill="1" applyBorder="1" applyAlignment="1">
      <alignment/>
    </xf>
    <xf numFmtId="171" fontId="5" fillId="0" borderId="3" xfId="43" applyNumberFormat="1" applyFont="1" applyFill="1" applyBorder="1" applyAlignment="1" applyProtection="1">
      <alignment/>
      <protection locked="0"/>
    </xf>
    <xf numFmtId="171" fontId="5" fillId="0" borderId="0" xfId="43" applyNumberFormat="1" applyFont="1" applyFill="1" applyBorder="1" applyAlignment="1">
      <alignment/>
    </xf>
    <xf numFmtId="4" fontId="5" fillId="0" borderId="3" xfId="0" applyNumberFormat="1" applyFont="1" applyFill="1" applyBorder="1" applyAlignment="1" applyProtection="1">
      <alignment/>
      <protection locked="0"/>
    </xf>
    <xf numFmtId="171" fontId="0" fillId="0" borderId="26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171" fontId="5" fillId="0" borderId="26" xfId="43" applyNumberFormat="1" applyFont="1" applyFill="1" applyBorder="1" applyAlignment="1" applyProtection="1">
      <alignment/>
      <protection locked="0"/>
    </xf>
    <xf numFmtId="9" fontId="5" fillId="0" borderId="0" xfId="0" applyNumberFormat="1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171" fontId="0" fillId="0" borderId="26" xfId="0" applyNumberFormat="1" applyFill="1" applyBorder="1" applyAlignment="1" applyProtection="1">
      <alignment/>
      <protection locked="0"/>
    </xf>
    <xf numFmtId="43" fontId="5" fillId="0" borderId="26" xfId="43" applyFont="1" applyFill="1" applyBorder="1" applyAlignment="1" applyProtection="1">
      <alignment/>
      <protection locked="0"/>
    </xf>
    <xf numFmtId="9" fontId="5" fillId="0" borderId="26" xfId="43" applyNumberFormat="1" applyFont="1" applyFill="1" applyBorder="1" applyAlignment="1" applyProtection="1">
      <alignment/>
      <protection locked="0"/>
    </xf>
    <xf numFmtId="171" fontId="0" fillId="0" borderId="26" xfId="43" applyNumberFormat="1" applyFont="1" applyFill="1" applyBorder="1" applyAlignment="1" applyProtection="1">
      <alignment/>
      <protection locked="0"/>
    </xf>
    <xf numFmtId="171" fontId="5" fillId="0" borderId="26" xfId="0" applyNumberFormat="1" applyFont="1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43" fontId="5" fillId="0" borderId="26" xfId="43" applyNumberFormat="1" applyFont="1" applyFill="1" applyBorder="1" applyAlignment="1" applyProtection="1">
      <alignment/>
      <protection locked="0"/>
    </xf>
    <xf numFmtId="171" fontId="0" fillId="0" borderId="26" xfId="43" applyNumberFormat="1" applyFont="1" applyFill="1" applyBorder="1" applyAlignment="1" applyProtection="1">
      <alignment/>
      <protection locked="0"/>
    </xf>
    <xf numFmtId="171" fontId="0" fillId="0" borderId="25" xfId="0" applyNumberFormat="1" applyFill="1" applyBorder="1" applyAlignment="1" applyProtection="1">
      <alignment/>
      <protection locked="0"/>
    </xf>
    <xf numFmtId="171" fontId="5" fillId="0" borderId="25" xfId="43" applyNumberFormat="1" applyFont="1" applyFill="1" applyBorder="1" applyAlignment="1" applyProtection="1">
      <alignment/>
      <protection locked="0"/>
    </xf>
    <xf numFmtId="171" fontId="0" fillId="0" borderId="25" xfId="43" applyNumberFormat="1" applyFont="1" applyFill="1" applyBorder="1" applyAlignment="1" applyProtection="1">
      <alignment/>
      <protection locked="0"/>
    </xf>
    <xf numFmtId="4" fontId="5" fillId="0" borderId="25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43" fontId="5" fillId="0" borderId="21" xfId="43" applyFont="1" applyFill="1" applyBorder="1" applyAlignment="1">
      <alignment horizontal="right"/>
    </xf>
    <xf numFmtId="171" fontId="5" fillId="0" borderId="27" xfId="43" applyNumberFormat="1" applyFont="1" applyFill="1" applyBorder="1" applyAlignment="1">
      <alignment horizontal="right"/>
    </xf>
    <xf numFmtId="171" fontId="0" fillId="0" borderId="0" xfId="43" applyNumberFormat="1" applyFont="1" applyFill="1" applyBorder="1" applyAlignment="1">
      <alignment horizontal="right"/>
    </xf>
    <xf numFmtId="171" fontId="0" fillId="0" borderId="3" xfId="43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centerContinuous"/>
    </xf>
    <xf numFmtId="0" fontId="0" fillId="0" borderId="18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43" fontId="5" fillId="0" borderId="17" xfId="43" applyFont="1" applyFill="1" applyBorder="1" applyAlignment="1">
      <alignment horizontal="right"/>
    </xf>
    <xf numFmtId="43" fontId="5" fillId="0" borderId="25" xfId="43" applyNumberFormat="1" applyFont="1" applyFill="1" applyBorder="1" applyAlignment="1">
      <alignment horizontal="right"/>
    </xf>
    <xf numFmtId="43" fontId="0" fillId="0" borderId="19" xfId="43" applyNumberFormat="1" applyFont="1" applyFill="1" applyBorder="1" applyAlignment="1">
      <alignment horizontal="right"/>
    </xf>
    <xf numFmtId="43" fontId="0" fillId="0" borderId="25" xfId="43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9" fontId="5" fillId="0" borderId="26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9" fontId="0" fillId="0" borderId="26" xfId="0" applyNumberFormat="1" applyFont="1" applyFill="1" applyBorder="1" applyAlignment="1">
      <alignment horizontal="right"/>
    </xf>
    <xf numFmtId="171" fontId="5" fillId="0" borderId="26" xfId="43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171" fontId="0" fillId="0" borderId="0" xfId="43" applyNumberFormat="1" applyFont="1" applyFill="1" applyBorder="1" applyAlignment="1" applyProtection="1">
      <alignment/>
      <protection locked="0"/>
    </xf>
    <xf numFmtId="3" fontId="0" fillId="0" borderId="26" xfId="0" applyNumberFormat="1" applyFont="1" applyFill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6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61" fillId="0" borderId="0" xfId="0" applyFont="1" applyBorder="1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y" xfId="41"/>
    <cellStyle name="Check Cell" xfId="42"/>
    <cellStyle name="Comma" xfId="43"/>
    <cellStyle name="Comma [0]" xfId="44"/>
    <cellStyle name="Currency" xfId="45"/>
    <cellStyle name="Currency $" xfId="46"/>
    <cellStyle name="Currency [0]" xfId="47"/>
    <cellStyle name="date" xfId="48"/>
    <cellStyle name="Explanatory Text" xfId="49"/>
    <cellStyle name="Followed Hyperlink" xfId="50"/>
    <cellStyle name="Good" xfId="51"/>
    <cellStyle name="Grey" xfId="52"/>
    <cellStyle name="HEADER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Model" xfId="62"/>
    <cellStyle name="Neutral" xfId="63"/>
    <cellStyle name="Normal - Style1" xfId="64"/>
    <cellStyle name="Normal 2" xfId="65"/>
    <cellStyle name="Note" xfId="66"/>
    <cellStyle name="Output" xfId="67"/>
    <cellStyle name="Percent" xfId="68"/>
    <cellStyle name="Percent [2]" xfId="69"/>
    <cellStyle name="subhead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="80" zoomScaleNormal="80" workbookViewId="0" topLeftCell="A1">
      <selection activeCell="D41" sqref="D41"/>
    </sheetView>
  </sheetViews>
  <sheetFormatPr defaultColWidth="11.00390625" defaultRowHeight="12.75"/>
  <cols>
    <col min="1" max="1" width="6.00390625" style="3" customWidth="1"/>
    <col min="2" max="2" width="24.140625" style="3" customWidth="1"/>
    <col min="3" max="3" width="14.140625" style="3" customWidth="1"/>
    <col min="4" max="4" width="9.28125" style="3" customWidth="1"/>
    <col min="5" max="6" width="6.140625" style="3" customWidth="1"/>
    <col min="7" max="11" width="13.28125" style="3" customWidth="1"/>
    <col min="12" max="16384" width="11.00390625" style="3" customWidth="1"/>
  </cols>
  <sheetData>
    <row r="1" spans="1:11" s="17" customFormat="1" ht="18">
      <c r="A1" s="119" t="s">
        <v>28</v>
      </c>
      <c r="B1" s="69"/>
      <c r="C1" s="69"/>
      <c r="D1" s="437" t="s">
        <v>274</v>
      </c>
      <c r="E1" s="69"/>
      <c r="F1" s="69"/>
      <c r="G1" s="69"/>
      <c r="H1" s="69"/>
      <c r="I1" s="69"/>
      <c r="J1" s="69"/>
      <c r="K1" s="69"/>
    </row>
    <row r="2" spans="1:11" s="17" customFormat="1" ht="15.75">
      <c r="A2" s="312"/>
      <c r="B2" s="313" t="s">
        <v>196</v>
      </c>
      <c r="C2" s="314"/>
      <c r="D2" s="314"/>
      <c r="E2" s="314"/>
      <c r="F2" s="77" t="s">
        <v>77</v>
      </c>
      <c r="G2" s="115">
        <v>2013</v>
      </c>
      <c r="H2" s="76">
        <f>G2+1</f>
        <v>2014</v>
      </c>
      <c r="I2" s="76">
        <f>H2+1</f>
        <v>2015</v>
      </c>
      <c r="J2" s="76">
        <f>I2+1</f>
        <v>2016</v>
      </c>
      <c r="K2" s="76">
        <f>J2+1</f>
        <v>2017</v>
      </c>
    </row>
    <row r="3" spans="1:11" ht="12.75">
      <c r="A3" s="319" t="s">
        <v>235</v>
      </c>
      <c r="B3" s="440" t="s">
        <v>278</v>
      </c>
      <c r="C3" s="412"/>
      <c r="D3" s="413" t="s">
        <v>78</v>
      </c>
      <c r="E3" s="414"/>
      <c r="F3" s="415">
        <v>1</v>
      </c>
      <c r="G3" s="416">
        <v>70</v>
      </c>
      <c r="H3" s="417">
        <f>$G3*$F3</f>
        <v>70</v>
      </c>
      <c r="I3" s="418">
        <f aca="true" t="shared" si="0" ref="I3:K4">H3*$F3</f>
        <v>70</v>
      </c>
      <c r="J3" s="418">
        <f t="shared" si="0"/>
        <v>70</v>
      </c>
      <c r="K3" s="259">
        <f t="shared" si="0"/>
        <v>70</v>
      </c>
    </row>
    <row r="4" spans="1:11" ht="12.75">
      <c r="A4" s="320" t="s">
        <v>236</v>
      </c>
      <c r="B4" s="439" t="s">
        <v>277</v>
      </c>
      <c r="C4" s="419"/>
      <c r="D4" s="420" t="s">
        <v>100</v>
      </c>
      <c r="E4" s="421"/>
      <c r="F4" s="422">
        <v>1</v>
      </c>
      <c r="G4" s="423">
        <v>18</v>
      </c>
      <c r="H4" s="424">
        <f>$G4*$F4</f>
        <v>18</v>
      </c>
      <c r="I4" s="425">
        <f t="shared" si="0"/>
        <v>18</v>
      </c>
      <c r="J4" s="425">
        <f t="shared" si="0"/>
        <v>18</v>
      </c>
      <c r="K4" s="425">
        <f t="shared" si="0"/>
        <v>18</v>
      </c>
    </row>
    <row r="5" spans="1:11" ht="12.75">
      <c r="A5" s="321">
        <v>0.1</v>
      </c>
      <c r="B5" s="51">
        <v>1400</v>
      </c>
      <c r="C5" s="426"/>
      <c r="D5" s="427" t="s">
        <v>79</v>
      </c>
      <c r="E5" s="428">
        <v>0.85</v>
      </c>
      <c r="F5" s="429"/>
      <c r="G5" s="259">
        <f>'New Herd'!B22*'CF-5'!$E$5</f>
        <v>850</v>
      </c>
      <c r="H5" s="259">
        <f>'New Herd'!D22*'CF-5'!$E$5</f>
        <v>850</v>
      </c>
      <c r="I5" s="259">
        <f>'New Herd'!E22*'CF-5'!$E$5</f>
        <v>850</v>
      </c>
      <c r="J5" s="259">
        <f>'New Herd'!F22*'CF-5'!$E$5</f>
        <v>850</v>
      </c>
      <c r="K5" s="259">
        <f>'New Herd'!G22*'CF-5'!$E$5</f>
        <v>850</v>
      </c>
    </row>
    <row r="6" spans="1:11" ht="12.75">
      <c r="A6" s="321">
        <v>0.07</v>
      </c>
      <c r="B6" s="51">
        <v>1400</v>
      </c>
      <c r="C6" s="426"/>
      <c r="D6" s="427" t="s">
        <v>80</v>
      </c>
      <c r="E6" s="430">
        <f>1-E5</f>
        <v>0.15000000000000002</v>
      </c>
      <c r="F6" s="429"/>
      <c r="G6" s="259">
        <f>$E$6*G5/$E$5</f>
        <v>150.00000000000003</v>
      </c>
      <c r="H6" s="259">
        <f>$E$6*H5/$E$5</f>
        <v>150.00000000000003</v>
      </c>
      <c r="I6" s="259">
        <f>$E$6*I5/$E$5</f>
        <v>150.00000000000003</v>
      </c>
      <c r="J6" s="259">
        <f>$E$6*J5/$E$5</f>
        <v>150.00000000000003</v>
      </c>
      <c r="K6" s="259">
        <f>$E$6*K5/$E$5</f>
        <v>150.00000000000003</v>
      </c>
    </row>
    <row r="7" spans="1:11" ht="12.75">
      <c r="A7" s="322">
        <v>0.07</v>
      </c>
      <c r="B7" s="51">
        <v>1300</v>
      </c>
      <c r="C7" s="426"/>
      <c r="D7" s="427" t="s">
        <v>84</v>
      </c>
      <c r="E7" s="431">
        <v>6</v>
      </c>
      <c r="F7" s="432" t="s">
        <v>199</v>
      </c>
      <c r="G7" s="259">
        <f>G8*$E$7/52</f>
        <v>34.61538461538461</v>
      </c>
      <c r="H7" s="259">
        <f>H8*$E$7/52</f>
        <v>34.61538461538461</v>
      </c>
      <c r="I7" s="259">
        <f>I8*$E$7/52</f>
        <v>34.61538461538461</v>
      </c>
      <c r="J7" s="259">
        <f>J8*$E$7/52</f>
        <v>34.61538461538461</v>
      </c>
      <c r="K7" s="259">
        <f>K8*$E$7/52</f>
        <v>34.61538461538461</v>
      </c>
    </row>
    <row r="8" spans="1:11" ht="12.75">
      <c r="A8" s="315"/>
      <c r="B8" s="411"/>
      <c r="C8" s="426"/>
      <c r="D8" s="427" t="s">
        <v>81</v>
      </c>
      <c r="E8" s="429"/>
      <c r="F8" s="429"/>
      <c r="G8" s="259">
        <f>SUM('New Herd'!B24:B26)</f>
        <v>300</v>
      </c>
      <c r="H8" s="259">
        <f>SUM('New Herd'!D24:D26)</f>
        <v>300</v>
      </c>
      <c r="I8" s="259">
        <f>SUM('New Herd'!E24:E26)</f>
        <v>300</v>
      </c>
      <c r="J8" s="259">
        <f>SUM('New Herd'!F24:F26)</f>
        <v>300</v>
      </c>
      <c r="K8" s="259">
        <f>SUM('New Herd'!G24:G26)</f>
        <v>300</v>
      </c>
    </row>
    <row r="9" spans="1:11" ht="12.75">
      <c r="A9" s="319" t="s">
        <v>237</v>
      </c>
      <c r="B9" s="411"/>
      <c r="C9" s="426"/>
      <c r="D9" s="427" t="s">
        <v>82</v>
      </c>
      <c r="E9" s="429"/>
      <c r="F9" s="429"/>
      <c r="G9" s="259">
        <f>'New Herd'!B27+'New Herd'!C27</f>
        <v>500.9333333333333</v>
      </c>
      <c r="H9" s="259">
        <f>'New Herd'!D27</f>
        <v>500.9333333333333</v>
      </c>
      <c r="I9" s="259">
        <f>'New Herd'!E27</f>
        <v>500.9333333333333</v>
      </c>
      <c r="J9" s="259">
        <f>'New Herd'!F27</f>
        <v>500.9333333333333</v>
      </c>
      <c r="K9" s="259">
        <f>'New Herd'!G27</f>
        <v>500.9333333333333</v>
      </c>
    </row>
    <row r="10" spans="1:11" ht="12.75">
      <c r="A10" s="320" t="s">
        <v>238</v>
      </c>
      <c r="B10" s="411"/>
      <c r="C10" s="52"/>
      <c r="D10" s="30" t="s">
        <v>83</v>
      </c>
      <c r="E10" s="55"/>
      <c r="F10" s="55"/>
      <c r="G10" s="53">
        <f>'New Herd'!B28+'New Herd'!C28</f>
        <v>481.2888888888889</v>
      </c>
      <c r="H10" s="53">
        <f>'New Herd'!D28</f>
        <v>481.28888888888883</v>
      </c>
      <c r="I10" s="53">
        <f>'New Herd'!E28</f>
        <v>481.28888888888883</v>
      </c>
      <c r="J10" s="53">
        <f>'New Herd'!F28</f>
        <v>481.28888888888883</v>
      </c>
      <c r="K10" s="53">
        <f>'New Herd'!G28</f>
        <v>481.28888888888883</v>
      </c>
    </row>
    <row r="11" spans="1:11" ht="12.75">
      <c r="A11" s="54">
        <v>0.02</v>
      </c>
      <c r="B11" s="438" t="s">
        <v>275</v>
      </c>
      <c r="C11" s="52"/>
      <c r="D11" s="30" t="s">
        <v>91</v>
      </c>
      <c r="E11" s="55"/>
      <c r="F11" s="55"/>
      <c r="G11" s="53">
        <f>'New Herd'!C18</f>
        <v>300</v>
      </c>
      <c r="H11" s="53">
        <f>'New Herd'!D18</f>
        <v>0</v>
      </c>
      <c r="I11" s="53">
        <f>'New Herd'!E18</f>
        <v>0</v>
      </c>
      <c r="J11" s="53">
        <f>'New Herd'!F18</f>
        <v>0</v>
      </c>
      <c r="K11" s="53">
        <f>'New Herd'!G18</f>
        <v>0</v>
      </c>
    </row>
    <row r="12" spans="1:11" ht="12.75">
      <c r="A12" s="55">
        <v>0.35</v>
      </c>
      <c r="B12" s="438" t="s">
        <v>276</v>
      </c>
      <c r="C12" s="31"/>
      <c r="D12" s="31"/>
      <c r="E12" s="32"/>
      <c r="F12" s="32"/>
      <c r="G12" s="32"/>
      <c r="H12" s="19"/>
      <c r="I12" s="19"/>
      <c r="J12" s="19"/>
      <c r="K12" s="316"/>
    </row>
    <row r="13" spans="1:11" ht="15.75">
      <c r="A13" s="124" t="s">
        <v>29</v>
      </c>
      <c r="B13" s="260"/>
      <c r="C13" s="60" t="s">
        <v>54</v>
      </c>
      <c r="D13" s="60" t="s">
        <v>53</v>
      </c>
      <c r="E13" s="76" t="s">
        <v>95</v>
      </c>
      <c r="F13" s="77" t="s">
        <v>77</v>
      </c>
      <c r="G13" s="76">
        <f>G2</f>
        <v>2013</v>
      </c>
      <c r="H13" s="76">
        <f>H2</f>
        <v>2014</v>
      </c>
      <c r="I13" s="76">
        <f>I2</f>
        <v>2015</v>
      </c>
      <c r="J13" s="76">
        <f>J2</f>
        <v>2016</v>
      </c>
      <c r="K13" s="76">
        <f>K2</f>
        <v>2017</v>
      </c>
    </row>
    <row r="14" spans="1:11" ht="12.75">
      <c r="A14" s="33" t="s">
        <v>55</v>
      </c>
      <c r="B14" s="218"/>
      <c r="C14" s="68">
        <f>G3*G5*365/100</f>
        <v>217175</v>
      </c>
      <c r="D14" s="318">
        <f>G4</f>
        <v>18</v>
      </c>
      <c r="E14" s="80">
        <f aca="true" t="shared" si="1" ref="E14:E21">100*G14/$G$21</f>
        <v>94.73534978516331</v>
      </c>
      <c r="F14" s="122">
        <v>1</v>
      </c>
      <c r="G14" s="80">
        <f>C14*D14</f>
        <v>3909150</v>
      </c>
      <c r="H14" s="85">
        <f>$F$14*H3*H4*H5*365/100</f>
        <v>3909150</v>
      </c>
      <c r="I14" s="85">
        <f>$F$14*I3*I4*I5*365/100</f>
        <v>3909150</v>
      </c>
      <c r="J14" s="85">
        <f>$F$14*J3*J4*J5*365/100</f>
        <v>3909150</v>
      </c>
      <c r="K14" s="80">
        <f>$F$14*K3*K4*K5*365/100</f>
        <v>3909150</v>
      </c>
    </row>
    <row r="15" spans="1:11" ht="12.75">
      <c r="A15" s="33" t="s">
        <v>56</v>
      </c>
      <c r="B15" s="218"/>
      <c r="C15" s="70">
        <f>G8</f>
        <v>300</v>
      </c>
      <c r="D15" s="396">
        <v>400</v>
      </c>
      <c r="E15" s="68">
        <f t="shared" si="1"/>
        <v>2.9081109638206764</v>
      </c>
      <c r="F15" s="122">
        <v>1</v>
      </c>
      <c r="G15" s="68">
        <f>G8*D15</f>
        <v>120000</v>
      </c>
      <c r="H15" s="85">
        <f>$D$15*H8*$F$15</f>
        <v>120000</v>
      </c>
      <c r="I15" s="85">
        <f>$D$15*I8*$F$15^2</f>
        <v>120000</v>
      </c>
      <c r="J15" s="85">
        <f>$D$15*J8*$F$15^3</f>
        <v>120000</v>
      </c>
      <c r="K15" s="68">
        <f>$D$15*K8*$F$15^4</f>
        <v>120000</v>
      </c>
    </row>
    <row r="16" spans="1:11" ht="12.75">
      <c r="A16" s="33" t="s">
        <v>57</v>
      </c>
      <c r="B16" s="218"/>
      <c r="C16" s="70">
        <f>G9</f>
        <v>500.9333333333333</v>
      </c>
      <c r="D16" s="396">
        <v>50</v>
      </c>
      <c r="E16" s="68">
        <f t="shared" si="1"/>
        <v>0.60698738283746</v>
      </c>
      <c r="F16" s="122">
        <v>1</v>
      </c>
      <c r="G16" s="68">
        <f>G9*D16</f>
        <v>25046.666666666664</v>
      </c>
      <c r="H16" s="85">
        <f>$D$16*H9*$F$16</f>
        <v>25046.666666666664</v>
      </c>
      <c r="I16" s="85">
        <f>$D$16*I9*$F$16^2</f>
        <v>25046.666666666664</v>
      </c>
      <c r="J16" s="85">
        <f>$D$16*J9*$F$16^3</f>
        <v>25046.666666666664</v>
      </c>
      <c r="K16" s="68">
        <f>$D$16*K9*$F$16^4</f>
        <v>25046.666666666664</v>
      </c>
    </row>
    <row r="17" spans="1:11" ht="12.75">
      <c r="A17" s="33" t="s">
        <v>58</v>
      </c>
      <c r="B17" s="218"/>
      <c r="C17" s="70">
        <f>G10</f>
        <v>481.2888888888889</v>
      </c>
      <c r="D17" s="396">
        <v>150</v>
      </c>
      <c r="E17" s="68">
        <f t="shared" si="1"/>
        <v>1.7495518681785611</v>
      </c>
      <c r="F17" s="122">
        <v>1</v>
      </c>
      <c r="G17" s="68">
        <f>G10*D17</f>
        <v>72193.33333333333</v>
      </c>
      <c r="H17" s="85">
        <f>$D$17*H10*$F$17</f>
        <v>72193.33333333333</v>
      </c>
      <c r="I17" s="85">
        <f>$D$17*I10*$F$17^2</f>
        <v>72193.33333333333</v>
      </c>
      <c r="J17" s="85">
        <f>$D$17*J10*$F$17^3</f>
        <v>72193.33333333333</v>
      </c>
      <c r="K17" s="68">
        <f>$D$17*K10*$F$17^4</f>
        <v>72193.33333333333</v>
      </c>
    </row>
    <row r="18" spans="1:11" ht="12.75">
      <c r="A18" s="48" t="s">
        <v>60</v>
      </c>
      <c r="B18" s="218"/>
      <c r="C18" s="61"/>
      <c r="D18" s="61"/>
      <c r="E18" s="68">
        <f t="shared" si="1"/>
        <v>0</v>
      </c>
      <c r="F18" s="122">
        <v>1</v>
      </c>
      <c r="G18" s="35"/>
      <c r="H18" s="85">
        <f>G18*$F$14</f>
        <v>0</v>
      </c>
      <c r="I18" s="85">
        <f>H18*F18^2</f>
        <v>0</v>
      </c>
      <c r="J18" s="68">
        <f>I18*F18^3</f>
        <v>0</v>
      </c>
      <c r="K18" s="68">
        <f>J18*F18^4</f>
        <v>0</v>
      </c>
    </row>
    <row r="19" spans="1:11" ht="12.75">
      <c r="A19" s="48" t="s">
        <v>62</v>
      </c>
      <c r="B19" s="218"/>
      <c r="C19" s="61"/>
      <c r="D19" s="61"/>
      <c r="E19" s="68">
        <f t="shared" si="1"/>
        <v>0</v>
      </c>
      <c r="F19" s="122">
        <v>1</v>
      </c>
      <c r="G19" s="35"/>
      <c r="H19" s="85">
        <f>G19*$F$14</f>
        <v>0</v>
      </c>
      <c r="I19" s="85">
        <f>H19*F19^2</f>
        <v>0</v>
      </c>
      <c r="J19" s="68">
        <f>I19*F19^3</f>
        <v>0</v>
      </c>
      <c r="K19" s="68">
        <f>J19*F19^4</f>
        <v>0</v>
      </c>
    </row>
    <row r="20" spans="1:11" ht="12.75">
      <c r="A20" s="20" t="s">
        <v>61</v>
      </c>
      <c r="B20" s="99"/>
      <c r="C20" s="100"/>
      <c r="D20" s="100"/>
      <c r="E20" s="81">
        <f t="shared" si="1"/>
        <v>0</v>
      </c>
      <c r="F20" s="123">
        <v>1</v>
      </c>
      <c r="G20" s="98"/>
      <c r="H20" s="116">
        <f>G20*$F$14</f>
        <v>0</v>
      </c>
      <c r="I20" s="116">
        <f>H20*F20^2</f>
        <v>0</v>
      </c>
      <c r="J20" s="81">
        <f>I20*F20^3</f>
        <v>0</v>
      </c>
      <c r="K20" s="81">
        <f>J20*F20^4</f>
        <v>0</v>
      </c>
    </row>
    <row r="21" spans="1:11" ht="12.75">
      <c r="A21" s="36"/>
      <c r="B21" s="37" t="s">
        <v>30</v>
      </c>
      <c r="C21" s="62"/>
      <c r="D21" s="62"/>
      <c r="E21" s="81">
        <f t="shared" si="1"/>
        <v>100</v>
      </c>
      <c r="F21" s="38"/>
      <c r="G21" s="224">
        <f>SUM(G14:G20)</f>
        <v>4126390</v>
      </c>
      <c r="H21" s="101">
        <f>SUM(H14:H20)</f>
        <v>4126390</v>
      </c>
      <c r="I21" s="101">
        <f>SUM(I14:I20)</f>
        <v>4126390</v>
      </c>
      <c r="J21" s="101">
        <f>SUM(J14:J20)</f>
        <v>4126390</v>
      </c>
      <c r="K21" s="102">
        <f>SUM(K14:K20)</f>
        <v>4126390</v>
      </c>
    </row>
    <row r="22" spans="1:11" ht="15.75">
      <c r="A22" s="200" t="s">
        <v>31</v>
      </c>
      <c r="B22" s="201"/>
      <c r="C22" s="201"/>
      <c r="D22" s="201"/>
      <c r="E22" s="201"/>
      <c r="F22" s="201"/>
      <c r="G22" s="204"/>
      <c r="H22" s="201"/>
      <c r="I22" s="201"/>
      <c r="J22" s="201"/>
      <c r="K22" s="261"/>
    </row>
    <row r="23" spans="1:11" ht="12.75">
      <c r="A23" s="125" t="s">
        <v>32</v>
      </c>
      <c r="B23" s="262"/>
      <c r="C23" s="65"/>
      <c r="D23" s="63"/>
      <c r="E23" s="35"/>
      <c r="F23" s="35"/>
      <c r="G23" s="79"/>
      <c r="H23" s="35"/>
      <c r="I23" s="35"/>
      <c r="J23" s="35"/>
      <c r="K23" s="79"/>
    </row>
    <row r="24" spans="1:11" ht="12.75">
      <c r="A24" s="94" t="s">
        <v>33</v>
      </c>
      <c r="B24" s="95"/>
      <c r="C24" s="96"/>
      <c r="D24" s="97"/>
      <c r="E24" s="98"/>
      <c r="F24" s="98"/>
      <c r="G24" s="93"/>
      <c r="H24" s="98"/>
      <c r="I24" s="98"/>
      <c r="J24" s="98"/>
      <c r="K24" s="93"/>
    </row>
    <row r="25" spans="1:11" ht="12.75">
      <c r="A25" s="36"/>
      <c r="B25" s="37" t="s">
        <v>34</v>
      </c>
      <c r="C25" s="67"/>
      <c r="D25" s="62"/>
      <c r="E25" s="38"/>
      <c r="F25" s="38"/>
      <c r="G25" s="101">
        <f>SUM(G23:G24)</f>
        <v>0</v>
      </c>
      <c r="H25" s="101">
        <f>SUM(H23:H24)</f>
        <v>0</v>
      </c>
      <c r="I25" s="101">
        <f>SUM(I23:I24)</f>
        <v>0</v>
      </c>
      <c r="J25" s="101">
        <f>SUM(J23:J24)</f>
        <v>0</v>
      </c>
      <c r="K25" s="111">
        <f>SUM(K23:K24)</f>
        <v>0</v>
      </c>
    </row>
    <row r="26" spans="1:11" ht="15.75">
      <c r="A26" s="202" t="s">
        <v>35</v>
      </c>
      <c r="B26" s="203"/>
      <c r="C26" s="203"/>
      <c r="D26" s="203"/>
      <c r="E26" s="203"/>
      <c r="F26" s="203"/>
      <c r="G26" s="204"/>
      <c r="H26" s="203"/>
      <c r="I26" s="203"/>
      <c r="J26" s="203"/>
      <c r="K26" s="263"/>
    </row>
    <row r="27" spans="1:11" ht="12.75">
      <c r="A27" s="125" t="s">
        <v>36</v>
      </c>
      <c r="B27" s="13"/>
      <c r="C27" s="71"/>
      <c r="D27" s="392">
        <v>32000</v>
      </c>
      <c r="E27" s="388"/>
      <c r="F27" s="393">
        <v>1.02</v>
      </c>
      <c r="G27" s="257">
        <f>D27</f>
        <v>32000</v>
      </c>
      <c r="H27" s="257">
        <f>$D27*$F27^1</f>
        <v>32640</v>
      </c>
      <c r="I27" s="257">
        <f>$D27*$F27^2</f>
        <v>33292.8</v>
      </c>
      <c r="J27" s="257">
        <f>$D27*$F27^3</f>
        <v>33958.655999999995</v>
      </c>
      <c r="K27" s="257">
        <f>$D27*$F27^4</f>
        <v>34637.82912</v>
      </c>
    </row>
    <row r="28" spans="1:11" ht="12.75">
      <c r="A28" s="33" t="s">
        <v>37</v>
      </c>
      <c r="B28" s="13"/>
      <c r="C28" s="48"/>
      <c r="D28" s="433"/>
      <c r="E28" s="433"/>
      <c r="F28" s="433"/>
      <c r="G28" s="434"/>
      <c r="H28" s="433"/>
      <c r="I28" s="433"/>
      <c r="J28" s="433"/>
      <c r="K28" s="433"/>
    </row>
    <row r="29" spans="1:11" ht="12.75">
      <c r="A29" s="33" t="s">
        <v>90</v>
      </c>
      <c r="B29" s="83"/>
      <c r="C29" s="13"/>
      <c r="D29" s="433"/>
      <c r="E29" s="433"/>
      <c r="F29" s="433"/>
      <c r="G29" s="434"/>
      <c r="H29" s="433"/>
      <c r="I29" s="433"/>
      <c r="J29" s="433"/>
      <c r="K29" s="433"/>
    </row>
    <row r="30" spans="1:11" ht="12.75">
      <c r="A30" s="48" t="s">
        <v>87</v>
      </c>
      <c r="B30" s="83"/>
      <c r="C30" s="13"/>
      <c r="D30" s="433"/>
      <c r="E30" s="433"/>
      <c r="F30" s="433"/>
      <c r="G30" s="434"/>
      <c r="H30" s="433"/>
      <c r="I30" s="433"/>
      <c r="J30" s="433"/>
      <c r="K30" s="433"/>
    </row>
    <row r="31" spans="1:11" ht="12.75">
      <c r="A31" s="50" t="s">
        <v>85</v>
      </c>
      <c r="B31" s="84"/>
      <c r="C31" s="13"/>
      <c r="D31" s="404"/>
      <c r="E31" s="435"/>
      <c r="F31" s="435"/>
      <c r="G31" s="434"/>
      <c r="H31" s="435"/>
      <c r="I31" s="435"/>
      <c r="J31" s="435"/>
      <c r="K31" s="435"/>
    </row>
    <row r="32" spans="1:11" ht="12.75">
      <c r="A32" s="48" t="s">
        <v>88</v>
      </c>
      <c r="B32" s="84"/>
      <c r="C32" s="13"/>
      <c r="D32" s="404"/>
      <c r="E32" s="435"/>
      <c r="F32" s="435"/>
      <c r="G32" s="434"/>
      <c r="H32" s="435"/>
      <c r="I32" s="435"/>
      <c r="J32" s="435"/>
      <c r="K32" s="435"/>
    </row>
    <row r="33" spans="1:11" ht="12.75">
      <c r="A33" s="48" t="s">
        <v>86</v>
      </c>
      <c r="B33" s="84"/>
      <c r="C33" s="13"/>
      <c r="D33" s="404"/>
      <c r="E33" s="435"/>
      <c r="F33" s="435"/>
      <c r="G33" s="434"/>
      <c r="H33" s="435"/>
      <c r="I33" s="435"/>
      <c r="J33" s="435"/>
      <c r="K33" s="435"/>
    </row>
    <row r="34" spans="1:11" ht="12.75">
      <c r="A34" s="33" t="s">
        <v>38</v>
      </c>
      <c r="B34" s="262"/>
      <c r="C34" s="66"/>
      <c r="D34" s="404"/>
      <c r="E34" s="435"/>
      <c r="F34" s="435"/>
      <c r="G34" s="434"/>
      <c r="H34" s="435"/>
      <c r="I34" s="435"/>
      <c r="J34" s="435"/>
      <c r="K34" s="435"/>
    </row>
    <row r="35" spans="1:11" ht="13.5" thickBot="1">
      <c r="A35" s="43"/>
      <c r="B35" s="44" t="s">
        <v>39</v>
      </c>
      <c r="C35" s="73"/>
      <c r="D35" s="72"/>
      <c r="E35" s="75"/>
      <c r="F35" s="75"/>
      <c r="G35" s="105">
        <f>SUM(G27:G34)</f>
        <v>32000</v>
      </c>
      <c r="H35" s="104">
        <f>SUM(H27:H34)</f>
        <v>32640</v>
      </c>
      <c r="I35" s="104">
        <f>SUM(I27:I34)</f>
        <v>33292.8</v>
      </c>
      <c r="J35" s="104">
        <f>SUM(J27:J34)</f>
        <v>33958.655999999995</v>
      </c>
      <c r="K35" s="105">
        <f>SUM(K27:K34)</f>
        <v>34637.82912</v>
      </c>
    </row>
    <row r="36" spans="1:11" ht="14.25" thickBot="1" thickTop="1">
      <c r="A36" s="58"/>
      <c r="B36" s="59" t="s">
        <v>40</v>
      </c>
      <c r="C36" s="107"/>
      <c r="D36" s="108"/>
      <c r="E36" s="109"/>
      <c r="F36" s="109"/>
      <c r="G36" s="113">
        <f>G21+G25+G35</f>
        <v>4158390</v>
      </c>
      <c r="H36" s="112">
        <f>H21+H25+H35</f>
        <v>4159030</v>
      </c>
      <c r="I36" s="112">
        <f>I21+I25+I35</f>
        <v>4159682.8</v>
      </c>
      <c r="J36" s="112">
        <f>J21+J25+J35</f>
        <v>4160348.656</v>
      </c>
      <c r="K36" s="113">
        <f>K21+K25+K35</f>
        <v>4161027.82912</v>
      </c>
    </row>
    <row r="37" spans="1:11" ht="13.5" thickTop="1">
      <c r="A37" s="117"/>
      <c r="B37" s="118"/>
      <c r="C37" s="57"/>
      <c r="D37" s="57"/>
      <c r="E37" s="49"/>
      <c r="F37" s="49"/>
      <c r="G37" s="47"/>
      <c r="H37" s="8"/>
      <c r="I37" s="8"/>
      <c r="J37" s="8"/>
      <c r="K37" s="9"/>
    </row>
    <row r="38" spans="1:11" ht="15.75">
      <c r="A38" s="124" t="s">
        <v>41</v>
      </c>
      <c r="B38" s="56"/>
      <c r="C38" s="91" t="str">
        <f aca="true" t="shared" si="2" ref="C38:K38">C13</f>
        <v>Quantity</v>
      </c>
      <c r="D38" s="91" t="str">
        <f t="shared" si="2"/>
        <v>Price</v>
      </c>
      <c r="E38" s="91" t="str">
        <f t="shared" si="2"/>
        <v>Pct </v>
      </c>
      <c r="F38" s="91" t="str">
        <f t="shared" si="2"/>
        <v>Trend</v>
      </c>
      <c r="G38" s="86">
        <f t="shared" si="2"/>
        <v>2013</v>
      </c>
      <c r="H38" s="86">
        <f t="shared" si="2"/>
        <v>2014</v>
      </c>
      <c r="I38" s="86">
        <f t="shared" si="2"/>
        <v>2015</v>
      </c>
      <c r="J38" s="86">
        <f t="shared" si="2"/>
        <v>2016</v>
      </c>
      <c r="K38" s="86">
        <f t="shared" si="2"/>
        <v>2017</v>
      </c>
    </row>
    <row r="39" spans="1:11" ht="12.75">
      <c r="A39" s="33" t="s">
        <v>98</v>
      </c>
      <c r="B39" s="82"/>
      <c r="C39" s="87"/>
      <c r="D39" s="87"/>
      <c r="E39" s="68">
        <f>100*SUM(G40:G42)/$G$62</f>
        <v>55.37608814958147</v>
      </c>
      <c r="F39" s="74"/>
      <c r="G39" s="74"/>
      <c r="H39" s="74"/>
      <c r="I39" s="74"/>
      <c r="J39" s="74"/>
      <c r="K39" s="74"/>
    </row>
    <row r="40" spans="1:11" ht="12.75">
      <c r="A40" s="308"/>
      <c r="B40" s="262" t="s">
        <v>92</v>
      </c>
      <c r="C40" s="399">
        <f>G5</f>
        <v>850</v>
      </c>
      <c r="D40" s="400">
        <f>(A11*B5+A12*G3)*A5</f>
        <v>5.25</v>
      </c>
      <c r="E40" s="257">
        <f aca="true" t="shared" si="3" ref="E40:E61">100*G40/$G$62</f>
        <v>51.274155694056915</v>
      </c>
      <c r="F40" s="256">
        <v>1</v>
      </c>
      <c r="G40" s="257">
        <f>C40*D40*365</f>
        <v>1628812.5</v>
      </c>
      <c r="H40" s="257">
        <f>365*H5*($A$11*$B$5+$A$12*H3)*$A$5*$F$40</f>
        <v>1628812.5</v>
      </c>
      <c r="I40" s="257">
        <f>365*I5*($A$11*$B$5+$A$12*I3)*$A$5*$F$40</f>
        <v>1628812.5</v>
      </c>
      <c r="J40" s="257">
        <f>365*J5*($A$11*$B$5+$A$12*J3)*$A$5*$F$40</f>
        <v>1628812.5</v>
      </c>
      <c r="K40" s="257">
        <f>365*K5*($A$11*$B$5+$A$12*K3)*$A$5*$F$40</f>
        <v>1628812.5</v>
      </c>
    </row>
    <row r="41" spans="1:11" ht="12.75">
      <c r="A41" s="309"/>
      <c r="B41" s="262" t="s">
        <v>93</v>
      </c>
      <c r="C41" s="399">
        <f>G6</f>
        <v>150.00000000000003</v>
      </c>
      <c r="D41" s="400">
        <f>A11*B6*A6</f>
        <v>1.9600000000000002</v>
      </c>
      <c r="E41" s="257">
        <f t="shared" si="3"/>
        <v>3.3780620221966915</v>
      </c>
      <c r="F41" s="256">
        <v>1</v>
      </c>
      <c r="G41" s="257">
        <f>C41*D41*365</f>
        <v>107310.00000000001</v>
      </c>
      <c r="H41" s="257">
        <f>365*H6*$D$41*$F$41</f>
        <v>107310.00000000003</v>
      </c>
      <c r="I41" s="257">
        <f>365*I6*$D$41*$F$41^2</f>
        <v>107310.00000000003</v>
      </c>
      <c r="J41" s="257">
        <f>365*J6*$D$41*$F$41^3</f>
        <v>107310.00000000003</v>
      </c>
      <c r="K41" s="257">
        <f>365*K6*$D$41*$F$41^4</f>
        <v>107310.00000000003</v>
      </c>
    </row>
    <row r="42" spans="1:11" ht="12.75">
      <c r="A42" s="309"/>
      <c r="B42" s="262" t="s">
        <v>94</v>
      </c>
      <c r="C42" s="399">
        <f>G7</f>
        <v>34.61538461538461</v>
      </c>
      <c r="D42" s="400">
        <f>A11*B7*A7</f>
        <v>1.8200000000000003</v>
      </c>
      <c r="E42" s="257">
        <f t="shared" si="3"/>
        <v>0.7238704333278625</v>
      </c>
      <c r="F42" s="256">
        <v>1</v>
      </c>
      <c r="G42" s="257">
        <f>C42*D42*365</f>
        <v>22995.000000000004</v>
      </c>
      <c r="H42" s="257">
        <f>365*H7*$D$42*$F$42</f>
        <v>22995</v>
      </c>
      <c r="I42" s="257">
        <f>365*I7*$D$42*$F$42^2</f>
        <v>22995</v>
      </c>
      <c r="J42" s="257">
        <f>365*J7*$D$42*$F$42^3</f>
        <v>22995</v>
      </c>
      <c r="K42" s="257">
        <f>365*K7*$D$42*$F$42^4</f>
        <v>22995</v>
      </c>
    </row>
    <row r="43" spans="1:11" ht="12.75">
      <c r="A43" s="33"/>
      <c r="B43" s="262" t="s">
        <v>231</v>
      </c>
      <c r="C43" s="399"/>
      <c r="D43" s="401">
        <v>0.1</v>
      </c>
      <c r="E43" s="257">
        <f t="shared" si="3"/>
        <v>5.537608814958147</v>
      </c>
      <c r="F43" s="256">
        <v>1</v>
      </c>
      <c r="G43" s="257">
        <f>$D$43*SUM(G40:G42)</f>
        <v>175911.75</v>
      </c>
      <c r="H43" s="257">
        <f>$D$43*SUM(H40:H42)*$F$43</f>
        <v>175911.75</v>
      </c>
      <c r="I43" s="257">
        <f>$D$43*SUM(I40:I42)*$F$43</f>
        <v>175911.75</v>
      </c>
      <c r="J43" s="257">
        <f>$D$43*SUM(J40:J42)*$F$43</f>
        <v>175911.75</v>
      </c>
      <c r="K43" s="257">
        <f>$D$43*SUM(K40:K42)*$F$43</f>
        <v>175911.75</v>
      </c>
    </row>
    <row r="44" spans="1:11" ht="12.75">
      <c r="A44" s="33"/>
      <c r="B44" s="262" t="s">
        <v>234</v>
      </c>
      <c r="C44" s="399"/>
      <c r="D44" s="400">
        <v>1.4</v>
      </c>
      <c r="E44" s="257">
        <f t="shared" si="3"/>
        <v>0</v>
      </c>
      <c r="F44" s="256">
        <v>1</v>
      </c>
      <c r="G44" s="402">
        <f>($C$44/24)*('New Herd'!C28+'New Herd'!C29-G7)*$D44*365*$F44^0</f>
        <v>0</v>
      </c>
      <c r="H44" s="402">
        <f>($C$44/24)*('New Herd'!D28+'New Herd'!D29-H7)*$D44*365*$F44^1</f>
        <v>0</v>
      </c>
      <c r="I44" s="402">
        <f>($C$44/24)*('New Herd'!E28+'New Herd'!E29-I7)*$D44*365*$F44^2</f>
        <v>0</v>
      </c>
      <c r="J44" s="402">
        <f>($C$44/24)*('New Herd'!F28+'New Herd'!F29-J7)*$D44*365*$F44^3</f>
        <v>0</v>
      </c>
      <c r="K44" s="402">
        <f>($C$44/24)*('New Herd'!G28+'New Herd'!G29-K7)*$D44*365*$F44^4</f>
        <v>0</v>
      </c>
    </row>
    <row r="45" spans="1:11" ht="12.75">
      <c r="A45" s="33" t="s">
        <v>59</v>
      </c>
      <c r="B45" s="262"/>
      <c r="C45" s="400">
        <v>10</v>
      </c>
      <c r="D45" s="403">
        <v>25000</v>
      </c>
      <c r="E45" s="257">
        <f t="shared" si="3"/>
        <v>7.869867724808245</v>
      </c>
      <c r="F45" s="256">
        <v>1</v>
      </c>
      <c r="G45" s="257">
        <f>C45*D45</f>
        <v>250000</v>
      </c>
      <c r="H45" s="257">
        <f>(H5+H6)/((G5+G6)/$C$45)*$D$45*$F$45</f>
        <v>250000</v>
      </c>
      <c r="I45" s="257">
        <f>(I5+I6)/((H5+H6)/$C$45)*$D$45*$F$45^2</f>
        <v>250000</v>
      </c>
      <c r="J45" s="257">
        <f>(J5+J6)/((I5+I6)/$C$45)*$D$45*$F$45^3</f>
        <v>250000</v>
      </c>
      <c r="K45" s="257">
        <f>(K5+K6)/((J5+J6)/$C$45)*$D$45*$F$45^4</f>
        <v>250000</v>
      </c>
    </row>
    <row r="46" spans="1:11" ht="12.75">
      <c r="A46" s="33" t="s">
        <v>42</v>
      </c>
      <c r="B46" s="262"/>
      <c r="C46" s="404"/>
      <c r="D46" s="404"/>
      <c r="E46" s="257">
        <f t="shared" si="3"/>
        <v>0.3918161048004543</v>
      </c>
      <c r="F46" s="256">
        <v>1</v>
      </c>
      <c r="G46" s="257">
        <f>SUM(Loans!E13:E24,Loans!N13:N24,Loans!V13:V24,Loans!AD13:AD24,Loans!AL13:AL24)</f>
        <v>12446.71824550905</v>
      </c>
      <c r="H46" s="257">
        <f>SUM(Loans!E25:E36,Loans!N25:N36,Loans!V25:V36,Loans!AD25:AD36,Loans!AL25:AL36)</f>
        <v>12322.759655798462</v>
      </c>
      <c r="I46" s="257">
        <f>SUM(Loans!E37:E48,Loans!N37:N48,Loans!V37:V48,Loans!AD37:AD48,Loans!AL37:AL48)</f>
        <v>12185.82098192358</v>
      </c>
      <c r="J46" s="257">
        <f>SUM(Loans!E49:E60,Loans!N49:N60,Loans!V49:V60,Loans!AD49:AD60,Loans!AL49:AL60)</f>
        <v>12034.543039455912</v>
      </c>
      <c r="K46" s="257">
        <f>SUM(Loans!E61:E72,Loans!N61:N72,Loans!V61:V72,Loans!AD61:AD72,Loans!AL61:AL72)</f>
        <v>11867.424319596263</v>
      </c>
    </row>
    <row r="47" spans="1:11" ht="12.75">
      <c r="A47" s="48" t="s">
        <v>72</v>
      </c>
      <c r="B47" s="262"/>
      <c r="C47" s="399">
        <f>C14</f>
        <v>217175</v>
      </c>
      <c r="D47" s="400">
        <f>0.15+0.05</f>
        <v>0.2</v>
      </c>
      <c r="E47" s="257">
        <f t="shared" si="3"/>
        <v>1.3673108185081844</v>
      </c>
      <c r="F47" s="256">
        <v>1</v>
      </c>
      <c r="G47" s="257">
        <f aca="true" t="shared" si="4" ref="G47:G53">C47*D47</f>
        <v>43435</v>
      </c>
      <c r="H47" s="257">
        <f>(365*H$5*H$3/100)*$D47*$F47^1</f>
        <v>43435</v>
      </c>
      <c r="I47" s="257">
        <f>(365*I$5*I$3/100)*$D47*$F47^2</f>
        <v>43435</v>
      </c>
      <c r="J47" s="257">
        <f>(365*J$5*J$3/100)*$D47*$F47^3</f>
        <v>43435</v>
      </c>
      <c r="K47" s="257">
        <f>(365*K$5*K$3/100)*$D47*$F47^4</f>
        <v>43435</v>
      </c>
    </row>
    <row r="48" spans="1:11" ht="12.75">
      <c r="A48" s="48" t="s">
        <v>63</v>
      </c>
      <c r="B48" s="262"/>
      <c r="C48" s="399">
        <f>$G$5+$G$6</f>
        <v>1000</v>
      </c>
      <c r="D48" s="396">
        <v>25</v>
      </c>
      <c r="E48" s="257">
        <f t="shared" si="3"/>
        <v>0.7869867724808245</v>
      </c>
      <c r="F48" s="256">
        <v>1</v>
      </c>
      <c r="G48" s="257">
        <f t="shared" si="4"/>
        <v>25000</v>
      </c>
      <c r="H48" s="257">
        <f>(H$5+H$6)*$D48*$F48^1</f>
        <v>25000</v>
      </c>
      <c r="I48" s="257">
        <f>(I$5+I$6)*$D48*$F48^2</f>
        <v>25000</v>
      </c>
      <c r="J48" s="257">
        <f>(J$5+J$6)*$D48*$F48^3</f>
        <v>25000</v>
      </c>
      <c r="K48" s="257">
        <f>(K$5+K$6)*$D48*$F48^4</f>
        <v>25000</v>
      </c>
    </row>
    <row r="49" spans="1:11" ht="12.75">
      <c r="A49" s="48" t="s">
        <v>99</v>
      </c>
      <c r="B49" s="262"/>
      <c r="C49" s="399">
        <f>$G$5+$G$6</f>
        <v>1000</v>
      </c>
      <c r="D49" s="396">
        <v>100</v>
      </c>
      <c r="E49" s="257">
        <f t="shared" si="3"/>
        <v>3.147947089923298</v>
      </c>
      <c r="F49" s="256">
        <v>1</v>
      </c>
      <c r="G49" s="257">
        <f t="shared" si="4"/>
        <v>100000</v>
      </c>
      <c r="H49" s="257">
        <f>(H$5+H$6)*$D49*$F49^1</f>
        <v>100000</v>
      </c>
      <c r="I49" s="257">
        <f>(I$5+I$6)*$D49*$F49^2</f>
        <v>100000</v>
      </c>
      <c r="J49" s="257">
        <f>(J$5+J$6)*$D49*$F49^3</f>
        <v>100000</v>
      </c>
      <c r="K49" s="257">
        <f>(K$5+K$6)*$D49*$F49^4</f>
        <v>100000</v>
      </c>
    </row>
    <row r="50" spans="1:11" ht="12.75">
      <c r="A50" s="48" t="s">
        <v>96</v>
      </c>
      <c r="B50" s="262"/>
      <c r="C50" s="399">
        <f>$G$5+$G$6</f>
        <v>1000</v>
      </c>
      <c r="D50" s="396">
        <v>15</v>
      </c>
      <c r="E50" s="257">
        <f t="shared" si="3"/>
        <v>0.4721920634884947</v>
      </c>
      <c r="F50" s="256">
        <v>1</v>
      </c>
      <c r="G50" s="257">
        <f t="shared" si="4"/>
        <v>15000</v>
      </c>
      <c r="H50" s="257">
        <f>(H$5+H$6)*$D50*$F50^1</f>
        <v>15000</v>
      </c>
      <c r="I50" s="257">
        <f>(I$5+I$6)*$D50*$F50^2</f>
        <v>15000</v>
      </c>
      <c r="J50" s="257">
        <f>(J$5+J$6)*$D50*$F50^3</f>
        <v>15000</v>
      </c>
      <c r="K50" s="257">
        <f>(K$5+K$6)*$D50*$F50^4</f>
        <v>15000</v>
      </c>
    </row>
    <row r="51" spans="1:11" ht="12.75">
      <c r="A51" s="48" t="s">
        <v>64</v>
      </c>
      <c r="B51" s="262"/>
      <c r="C51" s="399">
        <f>$G$5+$G$6</f>
        <v>1000</v>
      </c>
      <c r="D51" s="396">
        <v>20</v>
      </c>
      <c r="E51" s="257">
        <f t="shared" si="3"/>
        <v>0.6295894179846596</v>
      </c>
      <c r="F51" s="256">
        <v>1</v>
      </c>
      <c r="G51" s="257">
        <f t="shared" si="4"/>
        <v>20000</v>
      </c>
      <c r="H51" s="257">
        <f>(H$5+H$6)*$D51*$F51^1</f>
        <v>20000</v>
      </c>
      <c r="I51" s="257">
        <f>(I$5+I$6)*$D51*$F51^2</f>
        <v>20000</v>
      </c>
      <c r="J51" s="257">
        <f>(J$5+J$6)*$D51*$F51^3</f>
        <v>20000</v>
      </c>
      <c r="K51" s="257">
        <f>(K$5+K$6)*$D51*$F51^4</f>
        <v>20000</v>
      </c>
    </row>
    <row r="52" spans="1:11" ht="12.75">
      <c r="A52" s="48" t="s">
        <v>65</v>
      </c>
      <c r="B52" s="262"/>
      <c r="C52" s="399">
        <f>$G$5+$G$6</f>
        <v>1000</v>
      </c>
      <c r="D52" s="396">
        <v>10</v>
      </c>
      <c r="E52" s="257">
        <f t="shared" si="3"/>
        <v>0.3147947089923298</v>
      </c>
      <c r="F52" s="256">
        <v>1</v>
      </c>
      <c r="G52" s="257">
        <f t="shared" si="4"/>
        <v>10000</v>
      </c>
      <c r="H52" s="257">
        <f>(H$5+H$6)*$D52*$F52^1</f>
        <v>10000</v>
      </c>
      <c r="I52" s="257">
        <f>(I$5+I$6)*$D52*$F52^2</f>
        <v>10000</v>
      </c>
      <c r="J52" s="257">
        <f>(J$5+J$6)*$D52*$F52^3</f>
        <v>10000</v>
      </c>
      <c r="K52" s="257">
        <f>(K$5+K$6)*$D52*$F52^4</f>
        <v>10000</v>
      </c>
    </row>
    <row r="53" spans="1:11" ht="12.75">
      <c r="A53" s="48" t="s">
        <v>73</v>
      </c>
      <c r="B53" s="262"/>
      <c r="C53" s="399">
        <f>C47</f>
        <v>217175</v>
      </c>
      <c r="D53" s="405">
        <v>1.5</v>
      </c>
      <c r="E53" s="257">
        <f t="shared" si="3"/>
        <v>10.254831138811383</v>
      </c>
      <c r="F53" s="256">
        <v>1</v>
      </c>
      <c r="G53" s="257">
        <f t="shared" si="4"/>
        <v>325762.5</v>
      </c>
      <c r="H53" s="257">
        <f>(365*H$5*H$3/100)*$D53*$F53^1</f>
        <v>325762.5</v>
      </c>
      <c r="I53" s="257">
        <f>(365*I$5*I$3/100)*$D53*$F53^2</f>
        <v>325762.5</v>
      </c>
      <c r="J53" s="257">
        <f>(365*J$5*J$3/100)*$D53*$F53^3</f>
        <v>325762.5</v>
      </c>
      <c r="K53" s="257">
        <f>(365*K$5*K$3/100)*$D53*$F53^4</f>
        <v>325762.5</v>
      </c>
    </row>
    <row r="54" spans="1:11" ht="12.75">
      <c r="A54" s="48" t="s">
        <v>233</v>
      </c>
      <c r="B54" s="262"/>
      <c r="C54" s="399">
        <f aca="true" t="shared" si="5" ref="C54:C61">$G$5+$G$6</f>
        <v>1000</v>
      </c>
      <c r="D54" s="405">
        <v>0</v>
      </c>
      <c r="E54" s="257">
        <f t="shared" si="3"/>
        <v>0</v>
      </c>
      <c r="F54" s="256">
        <v>1</v>
      </c>
      <c r="G54" s="257">
        <f>C54*$D$54*(400-70)/14*0.8</f>
        <v>0</v>
      </c>
      <c r="H54" s="257">
        <f>(H5+H6)*$D$54*(400-70)/14*0.8*$F$54^1</f>
        <v>0</v>
      </c>
      <c r="I54" s="257">
        <f>(I5+I6)*$D$54*(400-70)/14*0.8*$F$54^2</f>
        <v>0</v>
      </c>
      <c r="J54" s="257">
        <f>(J5+J6)*$D$54*(400-70)/14*0.8*$F$54^3</f>
        <v>0</v>
      </c>
      <c r="K54" s="257">
        <f>(K5+K6)*$D$54*(400-70)/14*0.8*$F$54^4</f>
        <v>0</v>
      </c>
    </row>
    <row r="55" spans="1:11" ht="12.75">
      <c r="A55" s="48" t="s">
        <v>66</v>
      </c>
      <c r="B55" s="262"/>
      <c r="C55" s="399">
        <f t="shared" si="5"/>
        <v>1000</v>
      </c>
      <c r="D55" s="396">
        <v>10</v>
      </c>
      <c r="E55" s="257">
        <f t="shared" si="3"/>
        <v>0.3147947089923298</v>
      </c>
      <c r="F55" s="256">
        <v>1</v>
      </c>
      <c r="G55" s="257">
        <f aca="true" t="shared" si="6" ref="G55:G61">C55*D55</f>
        <v>10000</v>
      </c>
      <c r="H55" s="257">
        <f aca="true" t="shared" si="7" ref="H55:H61">(H$5+H$6)*$D55*$F55^1</f>
        <v>10000</v>
      </c>
      <c r="I55" s="257">
        <f aca="true" t="shared" si="8" ref="I55:I61">(I$5+I$6)*$D55*$F55^2</f>
        <v>10000</v>
      </c>
      <c r="J55" s="257">
        <f aca="true" t="shared" si="9" ref="J55:J61">(J$5+J$6)*$D55*$F55^3</f>
        <v>10000</v>
      </c>
      <c r="K55" s="257">
        <f aca="true" t="shared" si="10" ref="K55:K61">(K$5+K$6)*$D55*$F55^4</f>
        <v>10000</v>
      </c>
    </row>
    <row r="56" spans="1:11" ht="12.75">
      <c r="A56" s="48" t="s">
        <v>67</v>
      </c>
      <c r="B56" s="262"/>
      <c r="C56" s="399">
        <f t="shared" si="5"/>
        <v>1000</v>
      </c>
      <c r="D56" s="406"/>
      <c r="E56" s="257">
        <f t="shared" si="3"/>
        <v>0</v>
      </c>
      <c r="F56" s="256">
        <v>1</v>
      </c>
      <c r="G56" s="257">
        <f t="shared" si="6"/>
        <v>0</v>
      </c>
      <c r="H56" s="257">
        <f t="shared" si="7"/>
        <v>0</v>
      </c>
      <c r="I56" s="257">
        <f t="shared" si="8"/>
        <v>0</v>
      </c>
      <c r="J56" s="257">
        <f t="shared" si="9"/>
        <v>0</v>
      </c>
      <c r="K56" s="257">
        <f t="shared" si="10"/>
        <v>0</v>
      </c>
    </row>
    <row r="57" spans="1:11" ht="12.75">
      <c r="A57" s="48" t="s">
        <v>68</v>
      </c>
      <c r="B57" s="262"/>
      <c r="C57" s="399">
        <f t="shared" si="5"/>
        <v>1000</v>
      </c>
      <c r="D57" s="396">
        <v>90</v>
      </c>
      <c r="E57" s="257">
        <f t="shared" si="3"/>
        <v>2.833152380930968</v>
      </c>
      <c r="F57" s="256">
        <v>1</v>
      </c>
      <c r="G57" s="257">
        <f t="shared" si="6"/>
        <v>90000</v>
      </c>
      <c r="H57" s="257">
        <f t="shared" si="7"/>
        <v>90000</v>
      </c>
      <c r="I57" s="257">
        <f t="shared" si="8"/>
        <v>90000</v>
      </c>
      <c r="J57" s="257">
        <f t="shared" si="9"/>
        <v>90000</v>
      </c>
      <c r="K57" s="257">
        <f t="shared" si="10"/>
        <v>90000</v>
      </c>
    </row>
    <row r="58" spans="1:11" ht="12.75">
      <c r="A58" s="48" t="s">
        <v>69</v>
      </c>
      <c r="B58" s="262"/>
      <c r="C58" s="399">
        <f t="shared" si="5"/>
        <v>1000</v>
      </c>
      <c r="D58" s="396">
        <v>100</v>
      </c>
      <c r="E58" s="257">
        <f t="shared" si="3"/>
        <v>3.147947089923298</v>
      </c>
      <c r="F58" s="256">
        <v>1</v>
      </c>
      <c r="G58" s="257">
        <f t="shared" si="6"/>
        <v>100000</v>
      </c>
      <c r="H58" s="257">
        <f t="shared" si="7"/>
        <v>100000</v>
      </c>
      <c r="I58" s="257">
        <f t="shared" si="8"/>
        <v>100000</v>
      </c>
      <c r="J58" s="257">
        <f t="shared" si="9"/>
        <v>100000</v>
      </c>
      <c r="K58" s="257">
        <f t="shared" si="10"/>
        <v>100000</v>
      </c>
    </row>
    <row r="59" spans="1:11" ht="12.75">
      <c r="A59" s="48" t="s">
        <v>70</v>
      </c>
      <c r="B59" s="262"/>
      <c r="C59" s="399">
        <f t="shared" si="5"/>
        <v>1000</v>
      </c>
      <c r="D59" s="396">
        <v>80</v>
      </c>
      <c r="E59" s="257">
        <f t="shared" si="3"/>
        <v>2.5183576719386385</v>
      </c>
      <c r="F59" s="256">
        <v>1</v>
      </c>
      <c r="G59" s="257">
        <f t="shared" si="6"/>
        <v>80000</v>
      </c>
      <c r="H59" s="257">
        <f t="shared" si="7"/>
        <v>80000</v>
      </c>
      <c r="I59" s="257">
        <f t="shared" si="8"/>
        <v>80000</v>
      </c>
      <c r="J59" s="257">
        <f t="shared" si="9"/>
        <v>80000</v>
      </c>
      <c r="K59" s="257">
        <f t="shared" si="10"/>
        <v>80000</v>
      </c>
    </row>
    <row r="60" spans="1:11" ht="12.75">
      <c r="A60" s="48" t="s">
        <v>74</v>
      </c>
      <c r="B60" s="219"/>
      <c r="C60" s="399">
        <f t="shared" si="5"/>
        <v>1000</v>
      </c>
      <c r="D60" s="396">
        <v>80</v>
      </c>
      <c r="E60" s="257">
        <f t="shared" si="3"/>
        <v>2.5183576719386385</v>
      </c>
      <c r="F60" s="256">
        <v>1</v>
      </c>
      <c r="G60" s="257">
        <f t="shared" si="6"/>
        <v>80000</v>
      </c>
      <c r="H60" s="257">
        <f t="shared" si="7"/>
        <v>80000</v>
      </c>
      <c r="I60" s="257">
        <f t="shared" si="8"/>
        <v>80000</v>
      </c>
      <c r="J60" s="257">
        <f t="shared" si="9"/>
        <v>80000</v>
      </c>
      <c r="K60" s="257">
        <f t="shared" si="10"/>
        <v>80000</v>
      </c>
    </row>
    <row r="61" spans="1:11" ht="12.75">
      <c r="A61" s="20" t="s">
        <v>71</v>
      </c>
      <c r="B61" s="92"/>
      <c r="C61" s="407">
        <f t="shared" si="5"/>
        <v>1000</v>
      </c>
      <c r="D61" s="408">
        <v>80</v>
      </c>
      <c r="E61" s="409">
        <f t="shared" si="3"/>
        <v>2.5183576719386385</v>
      </c>
      <c r="F61" s="410">
        <v>1</v>
      </c>
      <c r="G61" s="409">
        <f t="shared" si="6"/>
        <v>80000</v>
      </c>
      <c r="H61" s="409">
        <f t="shared" si="7"/>
        <v>80000</v>
      </c>
      <c r="I61" s="409">
        <f t="shared" si="8"/>
        <v>80000</v>
      </c>
      <c r="J61" s="409">
        <f t="shared" si="9"/>
        <v>80000</v>
      </c>
      <c r="K61" s="409">
        <f t="shared" si="10"/>
        <v>80000</v>
      </c>
    </row>
    <row r="62" spans="1:11" ht="12.75">
      <c r="A62" s="36"/>
      <c r="B62" s="221" t="s">
        <v>43</v>
      </c>
      <c r="C62" s="62"/>
      <c r="D62" s="62" t="s">
        <v>195</v>
      </c>
      <c r="E62" s="102">
        <f>100*G62/G14</f>
        <v>81.26251149854852</v>
      </c>
      <c r="F62" s="78"/>
      <c r="G62" s="102">
        <f>SUM(G39:G61)</f>
        <v>3176673.468245509</v>
      </c>
      <c r="H62" s="102">
        <f>SUM(H39:H61)</f>
        <v>3176549.5096557983</v>
      </c>
      <c r="I62" s="102">
        <f>SUM(I39:I61)</f>
        <v>3176412.5709819235</v>
      </c>
      <c r="J62" s="102">
        <f>SUM(J39:J61)</f>
        <v>3176261.293039456</v>
      </c>
      <c r="K62" s="102">
        <f>SUM(K39:K61)</f>
        <v>3176094.174319596</v>
      </c>
    </row>
    <row r="63" spans="1:11" ht="15.75">
      <c r="A63" s="41" t="s">
        <v>44</v>
      </c>
      <c r="B63" s="42"/>
      <c r="C63" s="42"/>
      <c r="D63" s="42"/>
      <c r="E63" s="42"/>
      <c r="F63" s="42"/>
      <c r="G63" s="4"/>
      <c r="H63" s="42"/>
      <c r="I63" s="42"/>
      <c r="J63" s="42"/>
      <c r="K63" s="264"/>
    </row>
    <row r="64" spans="1:11" ht="12.75">
      <c r="A64" s="125" t="s">
        <v>45</v>
      </c>
      <c r="B64" s="82"/>
      <c r="C64" s="386"/>
      <c r="D64" s="387"/>
      <c r="E64" s="388"/>
      <c r="F64" s="388"/>
      <c r="G64" s="258"/>
      <c r="H64" s="258"/>
      <c r="I64" s="258"/>
      <c r="J64" s="258"/>
      <c r="K64" s="389"/>
    </row>
    <row r="65" spans="1:11" ht="12.75">
      <c r="A65" s="33" t="s">
        <v>46</v>
      </c>
      <c r="B65" s="82"/>
      <c r="C65" s="390"/>
      <c r="D65" s="387"/>
      <c r="E65" s="388"/>
      <c r="F65" s="388"/>
      <c r="G65" s="391">
        <f>SUM(Loans!F13:F24,Loans!O13:O24,Loans!W13:W24,Loans!AE13:AE24,Loans!AM13:AM24)</f>
        <v>1183.7929375918598</v>
      </c>
      <c r="H65" s="258">
        <f>SUM(Loans!F25:F36,Loans!O25:O36,Loans!W25:W36,Loans!AE25:AE36,Loans!AM25:AM36)</f>
        <v>1307.751527302447</v>
      </c>
      <c r="I65" s="258">
        <f>SUM(Loans!F37:F48,Loans!O37:O48,Loans!W37:W48,Loans!AE37:AE48,Loans!AM37:AM48)</f>
        <v>1444.6902011773275</v>
      </c>
      <c r="J65" s="258">
        <f>SUM(Loans!F49:F60,Loans!O49:O60,Loans!W49:W60,Loans!AE49:AE60,Loans!AM49:AM60)</f>
        <v>1595.968143644988</v>
      </c>
      <c r="K65" s="257">
        <f>SUM(Loans!F61:F72,Loans!O61:O72,Loans!W61:W72,Loans!AE61:AE72,Loans!AM61:AM72)</f>
        <v>1763.0868635046454</v>
      </c>
    </row>
    <row r="66" spans="1:11" ht="12.75">
      <c r="A66" s="33" t="s">
        <v>76</v>
      </c>
      <c r="B66" s="82"/>
      <c r="C66" s="390"/>
      <c r="D66" s="392">
        <v>38000</v>
      </c>
      <c r="E66" s="388"/>
      <c r="F66" s="393">
        <v>1.03</v>
      </c>
      <c r="G66" s="257">
        <f>D66</f>
        <v>38000</v>
      </c>
      <c r="H66" s="257">
        <f>$D66*$F66^1</f>
        <v>39140</v>
      </c>
      <c r="I66" s="257">
        <f>$D66*$F66^2</f>
        <v>40314.2</v>
      </c>
      <c r="J66" s="257">
        <f>$D66*$F66^3</f>
        <v>41523.626</v>
      </c>
      <c r="K66" s="257">
        <f>$D66*$F66^4</f>
        <v>42769.33478</v>
      </c>
    </row>
    <row r="67" spans="1:11" ht="12.75">
      <c r="A67" s="33" t="s">
        <v>200</v>
      </c>
      <c r="B67" s="82"/>
      <c r="C67" s="390"/>
      <c r="D67" s="387"/>
      <c r="E67" s="388"/>
      <c r="F67" s="388"/>
      <c r="G67" s="391"/>
      <c r="H67" s="258"/>
      <c r="I67" s="258"/>
      <c r="J67" s="258"/>
      <c r="K67" s="257"/>
    </row>
    <row r="68" spans="1:11" ht="12.75">
      <c r="A68" s="33" t="s">
        <v>97</v>
      </c>
      <c r="B68" s="82"/>
      <c r="C68" s="394"/>
      <c r="D68" s="392">
        <v>1400</v>
      </c>
      <c r="E68" s="388"/>
      <c r="F68" s="393">
        <v>1</v>
      </c>
      <c r="G68" s="258">
        <f>G11*D68</f>
        <v>420000</v>
      </c>
      <c r="H68" s="258">
        <f>H11*$D$68*$F$68</f>
        <v>0</v>
      </c>
      <c r="I68" s="258">
        <f>I11*$D$68*$F$68^2</f>
        <v>0</v>
      </c>
      <c r="J68" s="258">
        <f>J11*$D$68*$F$68^3</f>
        <v>0</v>
      </c>
      <c r="K68" s="257">
        <f>K11*$D$68*$F$68^4</f>
        <v>0</v>
      </c>
    </row>
    <row r="69" spans="1:11" ht="12.75">
      <c r="A69" s="33" t="s">
        <v>145</v>
      </c>
      <c r="B69" s="82"/>
      <c r="C69" s="390"/>
      <c r="D69" s="387"/>
      <c r="E69" s="388"/>
      <c r="F69" s="388"/>
      <c r="G69" s="391">
        <v>0</v>
      </c>
      <c r="H69" s="258"/>
      <c r="I69" s="258"/>
      <c r="J69" s="258"/>
      <c r="K69" s="257"/>
    </row>
    <row r="70" spans="1:11" ht="12.75">
      <c r="A70" s="33" t="s">
        <v>226</v>
      </c>
      <c r="B70" s="82"/>
      <c r="C70" s="390"/>
      <c r="D70" s="387"/>
      <c r="E70" s="388"/>
      <c r="F70" s="388"/>
      <c r="G70" s="391">
        <v>0</v>
      </c>
      <c r="H70" s="258"/>
      <c r="I70" s="258"/>
      <c r="J70" s="258"/>
      <c r="K70" s="257"/>
    </row>
    <row r="71" spans="1:11" ht="12.75">
      <c r="A71" s="33" t="s">
        <v>89</v>
      </c>
      <c r="B71" s="82"/>
      <c r="C71" s="394"/>
      <c r="D71" s="387"/>
      <c r="E71" s="388"/>
      <c r="F71" s="388"/>
      <c r="G71" s="391">
        <v>0</v>
      </c>
      <c r="H71" s="258"/>
      <c r="I71" s="258"/>
      <c r="J71" s="258"/>
      <c r="K71" s="257"/>
    </row>
    <row r="72" spans="1:11" ht="12.75">
      <c r="A72" s="436" t="s">
        <v>272</v>
      </c>
      <c r="B72" s="82"/>
      <c r="C72" s="390"/>
      <c r="D72" s="395"/>
      <c r="E72" s="388"/>
      <c r="F72" s="388"/>
      <c r="G72" s="391">
        <v>0</v>
      </c>
      <c r="H72" s="258"/>
      <c r="I72" s="258"/>
      <c r="J72" s="258"/>
      <c r="K72" s="257"/>
    </row>
    <row r="73" spans="1:11" ht="12.75">
      <c r="A73" s="436" t="s">
        <v>273</v>
      </c>
      <c r="B73" s="82"/>
      <c r="C73" s="390"/>
      <c r="D73" s="395"/>
      <c r="E73" s="388"/>
      <c r="F73" s="388"/>
      <c r="G73" s="391"/>
      <c r="H73" s="258"/>
      <c r="I73" s="258"/>
      <c r="J73" s="258"/>
      <c r="K73" s="257"/>
    </row>
    <row r="74" spans="1:11" ht="12.75">
      <c r="A74" s="126" t="s">
        <v>146</v>
      </c>
      <c r="B74" s="218"/>
      <c r="C74" s="396">
        <v>0</v>
      </c>
      <c r="D74" s="397">
        <v>0.8</v>
      </c>
      <c r="E74" s="398"/>
      <c r="F74" s="398"/>
      <c r="G74" s="258">
        <f>C74*D74</f>
        <v>0</v>
      </c>
      <c r="H74" s="258"/>
      <c r="I74" s="258"/>
      <c r="J74" s="258"/>
      <c r="K74" s="257"/>
    </row>
    <row r="75" spans="1:11" ht="13.5" thickBot="1">
      <c r="A75" s="43"/>
      <c r="B75" s="44" t="s">
        <v>47</v>
      </c>
      <c r="C75" s="72"/>
      <c r="D75" s="44"/>
      <c r="E75" s="45"/>
      <c r="F75" s="45"/>
      <c r="G75" s="104">
        <f>SUM(G64:G74)</f>
        <v>459183.79293759185</v>
      </c>
      <c r="H75" s="104">
        <f>SUM(H64:H74)</f>
        <v>40447.75152730245</v>
      </c>
      <c r="I75" s="104">
        <f>SUM(I64:I74)</f>
        <v>41758.890201177324</v>
      </c>
      <c r="J75" s="104">
        <f>SUM(J64:J74)</f>
        <v>43119.59414364499</v>
      </c>
      <c r="K75" s="105">
        <f>SUM(K64:K74)</f>
        <v>44532.42164350464</v>
      </c>
    </row>
    <row r="76" spans="1:11" ht="14.25" thickBot="1" thickTop="1">
      <c r="A76" s="58"/>
      <c r="B76" s="106" t="s">
        <v>48</v>
      </c>
      <c r="C76" s="108"/>
      <c r="D76" s="108"/>
      <c r="E76" s="109"/>
      <c r="F76" s="109"/>
      <c r="G76" s="113">
        <f>G62+G75</f>
        <v>3635857.2611831008</v>
      </c>
      <c r="H76" s="113">
        <f>H62+H75</f>
        <v>3216997.2611831008</v>
      </c>
      <c r="I76" s="113">
        <f>I62+I75</f>
        <v>3218171.461183101</v>
      </c>
      <c r="J76" s="113">
        <f>J62+J75</f>
        <v>3219380.887183101</v>
      </c>
      <c r="K76" s="113">
        <f>K62+K75</f>
        <v>3220626.595963101</v>
      </c>
    </row>
    <row r="77" spans="1:11" ht="13.5" thickTop="1">
      <c r="A77" s="40"/>
      <c r="B77" s="57"/>
      <c r="C77" s="57"/>
      <c r="D77" s="57"/>
      <c r="E77" s="49"/>
      <c r="F77" s="49"/>
      <c r="G77" s="47"/>
      <c r="H77" s="8"/>
      <c r="I77" s="8"/>
      <c r="J77" s="8"/>
      <c r="K77" s="9"/>
    </row>
    <row r="78" spans="1:11" ht="15.75" thickBot="1">
      <c r="A78" s="205" t="s">
        <v>49</v>
      </c>
      <c r="B78" s="206"/>
      <c r="C78" s="206"/>
      <c r="D78" s="206"/>
      <c r="E78" s="206"/>
      <c r="F78" s="206"/>
      <c r="G78" s="207"/>
      <c r="H78" s="206"/>
      <c r="I78" s="206"/>
      <c r="J78" s="206"/>
      <c r="K78" s="265"/>
    </row>
    <row r="79" spans="1:11" ht="13.5" thickTop="1">
      <c r="A79" s="127" t="s">
        <v>50</v>
      </c>
      <c r="B79" s="82"/>
      <c r="C79" s="87"/>
      <c r="D79" s="87"/>
      <c r="E79" s="114"/>
      <c r="F79" s="35"/>
      <c r="G79" s="317">
        <v>0</v>
      </c>
      <c r="H79" s="225">
        <f>G81</f>
        <v>522532.73881689925</v>
      </c>
      <c r="I79" s="110">
        <f>H81</f>
        <v>1464565.4776337985</v>
      </c>
      <c r="J79" s="110">
        <f>I81</f>
        <v>2406076.8164506974</v>
      </c>
      <c r="K79" s="110">
        <f>J81</f>
        <v>3347044.5852675964</v>
      </c>
    </row>
    <row r="80" spans="1:11" ht="15">
      <c r="A80" s="208" t="s">
        <v>51</v>
      </c>
      <c r="B80" s="266"/>
      <c r="C80" s="209" t="s">
        <v>232</v>
      </c>
      <c r="D80" s="209"/>
      <c r="E80" s="211"/>
      <c r="F80" s="211"/>
      <c r="G80" s="210">
        <f>G36-G76</f>
        <v>522532.73881689925</v>
      </c>
      <c r="H80" s="212">
        <f>H36-H76</f>
        <v>942032.7388168992</v>
      </c>
      <c r="I80" s="212">
        <f>I36-I76</f>
        <v>941511.3388168989</v>
      </c>
      <c r="J80" s="212">
        <f>J36-J76</f>
        <v>940967.768816899</v>
      </c>
      <c r="K80" s="212">
        <f>K36-K76</f>
        <v>940401.233156899</v>
      </c>
    </row>
    <row r="81" spans="1:11" ht="12.75">
      <c r="A81" s="94" t="s">
        <v>52</v>
      </c>
      <c r="B81" s="31"/>
      <c r="C81" s="267"/>
      <c r="D81" s="267"/>
      <c r="E81" s="78"/>
      <c r="F81" s="78"/>
      <c r="G81" s="223">
        <f>G79+G80</f>
        <v>522532.73881689925</v>
      </c>
      <c r="H81" s="102">
        <f>H79+H80</f>
        <v>1464565.4776337985</v>
      </c>
      <c r="I81" s="102">
        <f>I79+I80</f>
        <v>2406076.8164506974</v>
      </c>
      <c r="J81" s="102">
        <f>J79+J80</f>
        <v>3347044.5852675964</v>
      </c>
      <c r="K81" s="102">
        <f>K79+K80</f>
        <v>4287445.818424495</v>
      </c>
    </row>
    <row r="84" spans="1:11" ht="15">
      <c r="A84" s="41" t="s">
        <v>254</v>
      </c>
      <c r="B84" s="365"/>
      <c r="C84" s="365"/>
      <c r="D84" s="365"/>
      <c r="E84" s="365"/>
      <c r="F84" s="365"/>
      <c r="G84" s="365"/>
      <c r="H84" s="365"/>
      <c r="I84" s="365"/>
      <c r="J84" s="365"/>
      <c r="K84" s="366"/>
    </row>
    <row r="85" spans="1:11" ht="12.75">
      <c r="A85" s="367"/>
      <c r="B85" s="368"/>
      <c r="C85" s="368"/>
      <c r="D85" s="369" t="s">
        <v>255</v>
      </c>
      <c r="E85" s="368"/>
      <c r="F85" s="368"/>
      <c r="G85" s="370">
        <f>(G14-G80)/(G3*G5*365/100)</f>
        <v>15.59395538705238</v>
      </c>
      <c r="H85" s="370">
        <f>(H14-H80)/(H3*H5*365/100)</f>
        <v>13.662333423198346</v>
      </c>
      <c r="I85" s="370">
        <f>(I14-I80)/(I3*I5*365/100)</f>
        <v>13.664734252023027</v>
      </c>
      <c r="J85" s="370">
        <f>(J14-J80)/(J3*J5*365/100)</f>
        <v>13.667237164420863</v>
      </c>
      <c r="K85" s="371">
        <f>(K14-K80)/(K3*K5*365/100)</f>
        <v>13.669845824073217</v>
      </c>
    </row>
    <row r="86" spans="1:11" ht="12.75">
      <c r="A86" s="367"/>
      <c r="B86" s="368"/>
      <c r="C86" s="368"/>
      <c r="D86" s="369" t="s">
        <v>256</v>
      </c>
      <c r="E86" s="368"/>
      <c r="F86" s="368"/>
      <c r="G86" s="372">
        <f>(G14-G80)/(G5*365)/(G4/100)</f>
        <v>60.64315983853703</v>
      </c>
      <c r="H86" s="372">
        <f>(H14-H80)/(H5*365)/(H4/100)</f>
        <v>53.13129664577134</v>
      </c>
      <c r="I86" s="372">
        <f>(I14-I80)/(I5*365)/(I4/100)</f>
        <v>53.140633202311776</v>
      </c>
      <c r="J86" s="372">
        <f>(J14-J80)/(J5*365)/(J4/100)</f>
        <v>53.15036675052558</v>
      </c>
      <c r="K86" s="373">
        <f>(K14-K80)/(K5*365)/(K4/100)</f>
        <v>53.160511538062515</v>
      </c>
    </row>
    <row r="87" spans="1:11" ht="12.75">
      <c r="A87" s="367"/>
      <c r="B87" s="368"/>
      <c r="C87" s="368"/>
      <c r="D87" s="368"/>
      <c r="E87" s="368"/>
      <c r="F87" s="368"/>
      <c r="G87" s="368"/>
      <c r="H87" s="368"/>
      <c r="I87" s="368"/>
      <c r="J87" s="368"/>
      <c r="K87" s="374"/>
    </row>
    <row r="88" spans="1:11" ht="12.75">
      <c r="A88" s="367"/>
      <c r="B88" s="368"/>
      <c r="C88" s="368"/>
      <c r="D88" s="369" t="s">
        <v>257</v>
      </c>
      <c r="E88" s="368"/>
      <c r="F88" s="368"/>
      <c r="G88" s="375">
        <f>G3*G5*365/$C$45</f>
        <v>2171750</v>
      </c>
      <c r="H88" s="375">
        <f>H3*H5*365/$C$45</f>
        <v>2171750</v>
      </c>
      <c r="I88" s="375">
        <f>I3*I5*365/$C$45</f>
        <v>2171750</v>
      </c>
      <c r="J88" s="375">
        <f>J3*J5*365/$C$45</f>
        <v>2171750</v>
      </c>
      <c r="K88" s="376">
        <f>K3*K5*365/$C$45</f>
        <v>2171750</v>
      </c>
    </row>
    <row r="89" spans="1:11" ht="12.75">
      <c r="A89" s="367"/>
      <c r="B89" s="368"/>
      <c r="C89" s="368"/>
      <c r="D89" s="369" t="s">
        <v>258</v>
      </c>
      <c r="E89" s="368"/>
      <c r="F89" s="368"/>
      <c r="G89" s="375">
        <f>G3*G5*365/(G5+G6)</f>
        <v>21717.5</v>
      </c>
      <c r="H89" s="375">
        <f>H3*H5*365/(H5+H6)</f>
        <v>21717.5</v>
      </c>
      <c r="I89" s="375">
        <f>I3*I5*365/(I5+I6)</f>
        <v>21717.5</v>
      </c>
      <c r="J89" s="375">
        <f>J3*J5*365/(J5+J6)</f>
        <v>21717.5</v>
      </c>
      <c r="K89" s="376">
        <f>K3*K5*365/(K5+K6)</f>
        <v>21717.5</v>
      </c>
    </row>
    <row r="90" spans="1:11" ht="12.75">
      <c r="A90" s="367"/>
      <c r="B90" s="368"/>
      <c r="C90" s="368"/>
      <c r="D90" s="369"/>
      <c r="E90" s="368"/>
      <c r="F90" s="368"/>
      <c r="G90" s="368"/>
      <c r="H90" s="368"/>
      <c r="I90" s="368"/>
      <c r="J90" s="368"/>
      <c r="K90" s="374"/>
    </row>
    <row r="91" spans="1:11" ht="12.75">
      <c r="A91" s="367"/>
      <c r="B91" s="368"/>
      <c r="C91" s="368"/>
      <c r="D91" s="369" t="s">
        <v>259</v>
      </c>
      <c r="E91" s="368"/>
      <c r="F91" s="368"/>
      <c r="G91" s="370">
        <f>G62/(G3*G5*365/100)</f>
        <v>14.627252069738732</v>
      </c>
      <c r="H91" s="370">
        <f>H62/(H3*H5*365/100)</f>
        <v>14.626681292302512</v>
      </c>
      <c r="I91" s="370">
        <f>I62/(I3*I5*365/100)</f>
        <v>14.626050747010122</v>
      </c>
      <c r="J91" s="370">
        <f>J62/(J3*J5*365/100)</f>
        <v>14.625354175386006</v>
      </c>
      <c r="K91" s="371">
        <f>K62/(K3*K5*365/100)</f>
        <v>14.624584663610435</v>
      </c>
    </row>
    <row r="92" spans="1:11" ht="12.75">
      <c r="A92" s="367"/>
      <c r="B92" s="368"/>
      <c r="C92" s="368"/>
      <c r="D92" s="369" t="s">
        <v>260</v>
      </c>
      <c r="E92" s="368"/>
      <c r="F92" s="368"/>
      <c r="G92" s="370">
        <f>G62/G21</f>
        <v>0.7698432451235848</v>
      </c>
      <c r="H92" s="370">
        <f>H62/H21</f>
        <v>0.7698132046791016</v>
      </c>
      <c r="I92" s="370">
        <f>I62/I21</f>
        <v>0.7697800186075294</v>
      </c>
      <c r="J92" s="370">
        <f>J62/J21</f>
        <v>0.7697433575206066</v>
      </c>
      <c r="K92" s="371">
        <f>K62/K21</f>
        <v>0.7697028575388163</v>
      </c>
    </row>
    <row r="93" spans="1:11" ht="12.75">
      <c r="A93" s="367"/>
      <c r="B93" s="368"/>
      <c r="C93" s="368"/>
      <c r="D93" s="369" t="s">
        <v>261</v>
      </c>
      <c r="E93" s="368"/>
      <c r="F93" s="368"/>
      <c r="G93" s="370">
        <f>SUM(G40:G42)/(G3*G5*365/100)</f>
        <v>8.1</v>
      </c>
      <c r="H93" s="370">
        <f>SUM(H40:H42)/(H3*H5*365/100)</f>
        <v>8.1</v>
      </c>
      <c r="I93" s="370">
        <f>SUM(I40:I42)/(I3*I5*365/100)</f>
        <v>8.1</v>
      </c>
      <c r="J93" s="370">
        <f>SUM(J40:J42)/(J3*J5*365/100)</f>
        <v>8.1</v>
      </c>
      <c r="K93" s="371">
        <f>SUM(K40:K42)/(K3*K5*365/100)</f>
        <v>8.1</v>
      </c>
    </row>
    <row r="94" spans="1:11" ht="12.75">
      <c r="A94" s="367"/>
      <c r="B94" s="368"/>
      <c r="C94" s="368"/>
      <c r="D94" s="369" t="s">
        <v>266</v>
      </c>
      <c r="E94" s="368"/>
      <c r="F94" s="368"/>
      <c r="G94" s="377">
        <f>G46+G65</f>
        <v>13630.511183100909</v>
      </c>
      <c r="H94" s="377">
        <f>H46+H65</f>
        <v>13630.511183100909</v>
      </c>
      <c r="I94" s="377">
        <f>I46+I65</f>
        <v>13630.511183100907</v>
      </c>
      <c r="J94" s="377">
        <f>J46+J65</f>
        <v>13630.5111831009</v>
      </c>
      <c r="K94" s="377">
        <f>K46+K65</f>
        <v>13630.511183100909</v>
      </c>
    </row>
    <row r="95" spans="1:11" ht="12.75">
      <c r="A95" s="367"/>
      <c r="B95" s="368"/>
      <c r="C95" s="368"/>
      <c r="D95" s="369" t="s">
        <v>262</v>
      </c>
      <c r="E95" s="368"/>
      <c r="F95" s="368"/>
      <c r="G95" s="377">
        <f>G46/(G5+G6)</f>
        <v>12.44671824550905</v>
      </c>
      <c r="H95" s="377">
        <f>H46/(H5+H6)</f>
        <v>12.322759655798462</v>
      </c>
      <c r="I95" s="377">
        <f>I46/(I5+I6)</f>
        <v>12.18582098192358</v>
      </c>
      <c r="J95" s="377">
        <f>J46/(J5+J6)</f>
        <v>12.034543039455912</v>
      </c>
      <c r="K95" s="378">
        <f>K46/(K5+K6)</f>
        <v>11.867424319596262</v>
      </c>
    </row>
    <row r="96" spans="1:11" ht="12.75">
      <c r="A96" s="367"/>
      <c r="B96" s="368"/>
      <c r="C96" s="368"/>
      <c r="D96" s="369" t="s">
        <v>263</v>
      </c>
      <c r="E96" s="368"/>
      <c r="F96" s="368"/>
      <c r="G96" s="377">
        <f>(G65+G46)/(G5+G6)</f>
        <v>13.630511183100909</v>
      </c>
      <c r="H96" s="377">
        <f>(H65+H46)/(H5+H6)</f>
        <v>13.630511183100909</v>
      </c>
      <c r="I96" s="377">
        <f>(I65+I46)/(I5+I6)</f>
        <v>13.630511183100907</v>
      </c>
      <c r="J96" s="377">
        <f>(J65+J46)/(J5+J6)</f>
        <v>13.6305111831009</v>
      </c>
      <c r="K96" s="378">
        <f>(K65+K46)/(K5+K6)</f>
        <v>13.630511183100909</v>
      </c>
    </row>
    <row r="97" spans="1:11" ht="12.75">
      <c r="A97" s="367"/>
      <c r="B97" s="368"/>
      <c r="C97" s="368"/>
      <c r="D97" s="369" t="s">
        <v>264</v>
      </c>
      <c r="E97" s="368"/>
      <c r="F97" s="368"/>
      <c r="G97" s="379">
        <f>100*G45/G62</f>
        <v>7.869867724808245</v>
      </c>
      <c r="H97" s="379">
        <f>100*H45/H62</f>
        <v>7.870174830899748</v>
      </c>
      <c r="I97" s="379">
        <f>100*I45/I62</f>
        <v>7.870514122877859</v>
      </c>
      <c r="J97" s="379">
        <f>100*J45/J62</f>
        <v>7.870888977171264</v>
      </c>
      <c r="K97" s="380">
        <f>100*K45/K62</f>
        <v>7.871303125120862</v>
      </c>
    </row>
    <row r="98" spans="1:11" ht="12.75">
      <c r="A98" s="381"/>
      <c r="B98" s="364"/>
      <c r="C98" s="364"/>
      <c r="D98" s="382" t="s">
        <v>265</v>
      </c>
      <c r="E98" s="364"/>
      <c r="F98" s="364"/>
      <c r="G98" s="383">
        <f>100*G45/G14</f>
        <v>6.395252164792858</v>
      </c>
      <c r="H98" s="383">
        <f>100*H45/H14</f>
        <v>6.395252164792858</v>
      </c>
      <c r="I98" s="383">
        <f>100*I45/I14</f>
        <v>6.395252164792858</v>
      </c>
      <c r="J98" s="383">
        <f>100*J45/J14</f>
        <v>6.395252164792858</v>
      </c>
      <c r="K98" s="384">
        <f>100*K45/K14</f>
        <v>6.395252164792858</v>
      </c>
    </row>
  </sheetData>
  <sheetProtection/>
  <printOptions horizontalCentered="1"/>
  <pageMargins left="0.75" right="0.75" top="1" bottom="1" header="0.5" footer="0.5"/>
  <pageSetup horizontalDpi="180" verticalDpi="180" orientation="portrait" scale="60" r:id="rId3"/>
  <headerFooter differentOddEven="1" alignWithMargins="0">
    <oddFooter>&amp;R&amp;8Dairy Management at Virginia Tech
M. L. McGilliard
&amp;F, &amp;A, 11/10/09</oddFooter>
  </headerFooter>
  <rowBreaks count="1" manualBreakCount="1">
    <brk id="8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9"/>
  <sheetViews>
    <sheetView zoomScalePageLayoutView="0" workbookViewId="0" topLeftCell="A1">
      <pane ySplit="12" topLeftCell="A13" activePane="bottomLeft" state="frozen"/>
      <selection pane="topLeft" activeCell="C1" sqref="C1"/>
      <selection pane="bottomLeft" activeCell="D13" sqref="D13"/>
    </sheetView>
  </sheetViews>
  <sheetFormatPr defaultColWidth="11.00390625" defaultRowHeight="12.75"/>
  <cols>
    <col min="1" max="1" width="11.8515625" style="324" customWidth="1"/>
    <col min="2" max="2" width="7.8515625" style="324" customWidth="1"/>
    <col min="3" max="6" width="11.00390625" style="324" customWidth="1"/>
    <col min="7" max="7" width="12.8515625" style="324" customWidth="1"/>
    <col min="8" max="8" width="12.8515625" style="324" hidden="1" customWidth="1"/>
    <col min="9" max="9" width="6.28125" style="324" customWidth="1"/>
    <col min="10" max="10" width="11.8515625" style="324" customWidth="1"/>
    <col min="11" max="11" width="7.8515625" style="324" customWidth="1"/>
    <col min="12" max="15" width="11.00390625" style="324" customWidth="1"/>
    <col min="16" max="16" width="12.8515625" style="324" customWidth="1"/>
    <col min="17" max="17" width="6.421875" style="324" customWidth="1"/>
    <col min="18" max="18" width="11.8515625" style="324" customWidth="1"/>
    <col min="19" max="19" width="7.8515625" style="324" customWidth="1"/>
    <col min="20" max="23" width="11.00390625" style="324" customWidth="1"/>
    <col min="24" max="24" width="12.8515625" style="324" customWidth="1"/>
    <col min="25" max="25" width="6.00390625" style="324" customWidth="1"/>
    <col min="26" max="26" width="11.8515625" style="324" customWidth="1"/>
    <col min="27" max="27" width="7.8515625" style="324" customWidth="1"/>
    <col min="28" max="31" width="11.00390625" style="324" customWidth="1"/>
    <col min="32" max="32" width="12.8515625" style="324" customWidth="1"/>
    <col min="33" max="33" width="6.7109375" style="324" customWidth="1"/>
    <col min="34" max="34" width="11.8515625" style="324" customWidth="1"/>
    <col min="35" max="35" width="7.8515625" style="324" customWidth="1"/>
    <col min="36" max="39" width="11.00390625" style="324" customWidth="1"/>
    <col min="40" max="40" width="12.8515625" style="324" customWidth="1"/>
    <col min="41" max="16384" width="11.00390625" style="324" customWidth="1"/>
  </cols>
  <sheetData>
    <row r="1" spans="1:40" s="323" customFormat="1" ht="17.25">
      <c r="A1" s="343" t="s">
        <v>267</v>
      </c>
      <c r="B1" s="344"/>
      <c r="C1" s="344"/>
      <c r="D1" s="344"/>
      <c r="E1" s="344"/>
      <c r="F1" s="344"/>
      <c r="G1" s="345"/>
      <c r="J1" s="343" t="s">
        <v>268</v>
      </c>
      <c r="K1" s="344"/>
      <c r="L1" s="344"/>
      <c r="M1" s="344"/>
      <c r="N1" s="344"/>
      <c r="O1" s="344"/>
      <c r="P1" s="345"/>
      <c r="R1" s="343" t="s">
        <v>269</v>
      </c>
      <c r="S1" s="344"/>
      <c r="T1" s="344"/>
      <c r="U1" s="344"/>
      <c r="V1" s="344"/>
      <c r="W1" s="344"/>
      <c r="X1" s="345"/>
      <c r="Z1" s="343" t="s">
        <v>270</v>
      </c>
      <c r="AA1" s="344"/>
      <c r="AB1" s="344"/>
      <c r="AC1" s="344"/>
      <c r="AD1" s="344"/>
      <c r="AE1" s="344"/>
      <c r="AF1" s="345"/>
      <c r="AH1" s="343" t="s">
        <v>271</v>
      </c>
      <c r="AI1" s="344"/>
      <c r="AJ1" s="344"/>
      <c r="AK1" s="344"/>
      <c r="AL1" s="344"/>
      <c r="AM1" s="344"/>
      <c r="AN1" s="345"/>
    </row>
    <row r="2" spans="1:40" ht="12.75">
      <c r="A2" s="346"/>
      <c r="B2" s="325"/>
      <c r="C2" s="325"/>
      <c r="D2" s="325"/>
      <c r="E2" s="325"/>
      <c r="F2" s="325"/>
      <c r="G2" s="347"/>
      <c r="J2" s="346"/>
      <c r="K2" s="325"/>
      <c r="L2" s="325"/>
      <c r="M2" s="325"/>
      <c r="N2" s="325"/>
      <c r="O2" s="325"/>
      <c r="P2" s="347"/>
      <c r="R2" s="346"/>
      <c r="S2" s="325"/>
      <c r="T2" s="325"/>
      <c r="U2" s="325"/>
      <c r="V2" s="325"/>
      <c r="W2" s="325"/>
      <c r="X2" s="347"/>
      <c r="Z2" s="346"/>
      <c r="AA2" s="325"/>
      <c r="AB2" s="325"/>
      <c r="AC2" s="325"/>
      <c r="AD2" s="325"/>
      <c r="AE2" s="325"/>
      <c r="AF2" s="347"/>
      <c r="AH2" s="346"/>
      <c r="AI2" s="325"/>
      <c r="AJ2" s="325"/>
      <c r="AK2" s="325"/>
      <c r="AL2" s="325"/>
      <c r="AM2" s="325"/>
      <c r="AN2" s="347"/>
    </row>
    <row r="3" spans="1:40" ht="12.75">
      <c r="A3" s="348" t="s">
        <v>240</v>
      </c>
      <c r="B3" s="325"/>
      <c r="C3" s="349">
        <v>25000</v>
      </c>
      <c r="D3" s="349"/>
      <c r="E3" s="325"/>
      <c r="F3" s="325"/>
      <c r="G3" s="347"/>
      <c r="J3" s="348" t="s">
        <v>240</v>
      </c>
      <c r="K3" s="325"/>
      <c r="L3" s="349">
        <v>25000</v>
      </c>
      <c r="M3" s="349"/>
      <c r="N3" s="325"/>
      <c r="O3" s="325"/>
      <c r="P3" s="347"/>
      <c r="R3" s="348" t="s">
        <v>240</v>
      </c>
      <c r="S3" s="325"/>
      <c r="T3" s="349">
        <v>25000</v>
      </c>
      <c r="U3" s="349"/>
      <c r="V3" s="325"/>
      <c r="W3" s="325"/>
      <c r="X3" s="347"/>
      <c r="Z3" s="348" t="s">
        <v>240</v>
      </c>
      <c r="AA3" s="325"/>
      <c r="AB3" s="349">
        <v>25000</v>
      </c>
      <c r="AC3" s="349"/>
      <c r="AD3" s="325"/>
      <c r="AE3" s="325"/>
      <c r="AF3" s="347"/>
      <c r="AH3" s="348" t="s">
        <v>240</v>
      </c>
      <c r="AI3" s="325"/>
      <c r="AJ3" s="349">
        <v>25000</v>
      </c>
      <c r="AK3" s="349"/>
      <c r="AL3" s="325"/>
      <c r="AM3" s="325"/>
      <c r="AN3" s="347"/>
    </row>
    <row r="4" spans="1:40" ht="12.75">
      <c r="A4" s="348" t="s">
        <v>242</v>
      </c>
      <c r="B4" s="325"/>
      <c r="C4" s="350">
        <v>25</v>
      </c>
      <c r="D4" s="351">
        <f>C4*12</f>
        <v>300</v>
      </c>
      <c r="E4" s="325"/>
      <c r="F4" s="325"/>
      <c r="G4" s="347"/>
      <c r="H4" s="326"/>
      <c r="J4" s="348" t="s">
        <v>242</v>
      </c>
      <c r="K4" s="325"/>
      <c r="L4" s="350">
        <v>25</v>
      </c>
      <c r="M4" s="351">
        <f>L4*12</f>
        <v>300</v>
      </c>
      <c r="N4" s="325"/>
      <c r="O4" s="325"/>
      <c r="P4" s="347"/>
      <c r="R4" s="348" t="s">
        <v>242</v>
      </c>
      <c r="S4" s="325"/>
      <c r="T4" s="350">
        <v>25</v>
      </c>
      <c r="U4" s="351">
        <f>T4*12</f>
        <v>300</v>
      </c>
      <c r="V4" s="325"/>
      <c r="W4" s="325"/>
      <c r="X4" s="347"/>
      <c r="Z4" s="348" t="s">
        <v>242</v>
      </c>
      <c r="AA4" s="325"/>
      <c r="AB4" s="350">
        <v>25</v>
      </c>
      <c r="AC4" s="351">
        <f>AB4*12</f>
        <v>300</v>
      </c>
      <c r="AD4" s="325"/>
      <c r="AE4" s="325"/>
      <c r="AF4" s="347"/>
      <c r="AH4" s="348" t="s">
        <v>242</v>
      </c>
      <c r="AI4" s="325"/>
      <c r="AJ4" s="350">
        <v>25</v>
      </c>
      <c r="AK4" s="351">
        <f>AJ4*12</f>
        <v>300</v>
      </c>
      <c r="AL4" s="325"/>
      <c r="AM4" s="325"/>
      <c r="AN4" s="347"/>
    </row>
    <row r="5" spans="1:40" ht="12.75">
      <c r="A5" s="348" t="s">
        <v>241</v>
      </c>
      <c r="B5" s="325"/>
      <c r="C5" s="352">
        <v>10</v>
      </c>
      <c r="D5" s="351">
        <f>C5/100/12</f>
        <v>0.008333333333333333</v>
      </c>
      <c r="E5" s="325"/>
      <c r="F5" s="325"/>
      <c r="G5" s="353"/>
      <c r="J5" s="348" t="s">
        <v>241</v>
      </c>
      <c r="K5" s="325"/>
      <c r="L5" s="352">
        <v>10</v>
      </c>
      <c r="M5" s="351">
        <f>L5/100/12</f>
        <v>0.008333333333333333</v>
      </c>
      <c r="N5" s="325"/>
      <c r="O5" s="325"/>
      <c r="P5" s="353"/>
      <c r="R5" s="348" t="s">
        <v>241</v>
      </c>
      <c r="S5" s="325"/>
      <c r="T5" s="352">
        <v>10</v>
      </c>
      <c r="U5" s="351">
        <f>T5/100/12</f>
        <v>0.008333333333333333</v>
      </c>
      <c r="V5" s="325"/>
      <c r="W5" s="325"/>
      <c r="X5" s="353"/>
      <c r="Z5" s="348" t="s">
        <v>241</v>
      </c>
      <c r="AA5" s="325"/>
      <c r="AB5" s="352">
        <v>10</v>
      </c>
      <c r="AC5" s="351">
        <f>AB5/100/12</f>
        <v>0.008333333333333333</v>
      </c>
      <c r="AD5" s="325"/>
      <c r="AE5" s="325"/>
      <c r="AF5" s="353"/>
      <c r="AH5" s="348" t="s">
        <v>241</v>
      </c>
      <c r="AI5" s="325"/>
      <c r="AJ5" s="352">
        <v>10</v>
      </c>
      <c r="AK5" s="351">
        <f>AJ5/100/12</f>
        <v>0.008333333333333333</v>
      </c>
      <c r="AL5" s="325"/>
      <c r="AM5" s="325"/>
      <c r="AN5" s="353"/>
    </row>
    <row r="6" spans="1:40" ht="12.75">
      <c r="A6" s="354" t="s">
        <v>253</v>
      </c>
      <c r="B6" s="325"/>
      <c r="C6" s="355">
        <v>7</v>
      </c>
      <c r="D6" s="351">
        <f>C6/100/12</f>
        <v>0.005833333333333334</v>
      </c>
      <c r="E6" s="325"/>
      <c r="F6" s="342"/>
      <c r="G6" s="347"/>
      <c r="J6" s="354" t="s">
        <v>253</v>
      </c>
      <c r="K6" s="325"/>
      <c r="L6" s="355">
        <v>7</v>
      </c>
      <c r="M6" s="351">
        <f>L6/100/12</f>
        <v>0.005833333333333334</v>
      </c>
      <c r="N6" s="325"/>
      <c r="O6" s="342"/>
      <c r="P6" s="347"/>
      <c r="R6" s="354" t="s">
        <v>253</v>
      </c>
      <c r="S6" s="325"/>
      <c r="T6" s="355">
        <v>7</v>
      </c>
      <c r="U6" s="351">
        <f>T6/100/12</f>
        <v>0.005833333333333334</v>
      </c>
      <c r="V6" s="325"/>
      <c r="W6" s="342"/>
      <c r="X6" s="347"/>
      <c r="Z6" s="354" t="s">
        <v>253</v>
      </c>
      <c r="AA6" s="325"/>
      <c r="AB6" s="355">
        <v>7</v>
      </c>
      <c r="AC6" s="351">
        <f>AB6/100/12</f>
        <v>0.005833333333333334</v>
      </c>
      <c r="AD6" s="325"/>
      <c r="AE6" s="342"/>
      <c r="AF6" s="347"/>
      <c r="AH6" s="354" t="s">
        <v>253</v>
      </c>
      <c r="AI6" s="325"/>
      <c r="AJ6" s="355">
        <v>7</v>
      </c>
      <c r="AK6" s="351">
        <f>AJ6/100/12</f>
        <v>0.005833333333333334</v>
      </c>
      <c r="AL6" s="325"/>
      <c r="AM6" s="385"/>
      <c r="AN6" s="347"/>
    </row>
    <row r="7" spans="1:40" ht="12.75">
      <c r="A7" s="348" t="s">
        <v>243</v>
      </c>
      <c r="B7" s="325"/>
      <c r="C7" s="350">
        <v>1</v>
      </c>
      <c r="D7" s="350"/>
      <c r="E7" s="356" t="str">
        <f>IF(C9&lt;1900,"Bad Year"," ")</f>
        <v> </v>
      </c>
      <c r="F7" s="342"/>
      <c r="G7" s="347"/>
      <c r="J7" s="348" t="s">
        <v>243</v>
      </c>
      <c r="K7" s="325"/>
      <c r="L7" s="350">
        <v>1</v>
      </c>
      <c r="M7" s="350"/>
      <c r="N7" s="356" t="str">
        <f>IF(L9&lt;1900,"Bad Year"," ")</f>
        <v> </v>
      </c>
      <c r="O7" s="342"/>
      <c r="P7" s="347"/>
      <c r="R7" s="348" t="s">
        <v>243</v>
      </c>
      <c r="S7" s="325"/>
      <c r="T7" s="350">
        <v>1</v>
      </c>
      <c r="U7" s="350"/>
      <c r="V7" s="356" t="str">
        <f>IF(T9&lt;1900,"Bad Year"," ")</f>
        <v> </v>
      </c>
      <c r="W7" s="342"/>
      <c r="X7" s="347"/>
      <c r="Z7" s="348" t="s">
        <v>243</v>
      </c>
      <c r="AA7" s="325"/>
      <c r="AB7" s="350">
        <v>1</v>
      </c>
      <c r="AC7" s="350"/>
      <c r="AD7" s="356" t="str">
        <f>IF(AB9&lt;1900,"Bad Year"," ")</f>
        <v> </v>
      </c>
      <c r="AE7" s="342"/>
      <c r="AF7" s="347"/>
      <c r="AH7" s="348" t="s">
        <v>243</v>
      </c>
      <c r="AI7" s="325"/>
      <c r="AJ7" s="350">
        <v>1</v>
      </c>
      <c r="AK7" s="350"/>
      <c r="AL7" s="356" t="str">
        <f>IF(AJ9&lt;1900,"Bad Year"," ")</f>
        <v> </v>
      </c>
      <c r="AM7" s="342"/>
      <c r="AN7" s="347"/>
    </row>
    <row r="8" spans="1:40" ht="12.75">
      <c r="A8" s="348" t="s">
        <v>244</v>
      </c>
      <c r="B8" s="325"/>
      <c r="C8" s="350">
        <v>30</v>
      </c>
      <c r="D8" s="350"/>
      <c r="E8" s="356"/>
      <c r="F8" s="342"/>
      <c r="G8" s="347"/>
      <c r="J8" s="348" t="s">
        <v>244</v>
      </c>
      <c r="K8" s="325"/>
      <c r="L8" s="350">
        <v>30</v>
      </c>
      <c r="M8" s="350"/>
      <c r="N8" s="356"/>
      <c r="O8" s="342"/>
      <c r="P8" s="347"/>
      <c r="R8" s="348" t="s">
        <v>244</v>
      </c>
      <c r="S8" s="325"/>
      <c r="T8" s="350">
        <v>30</v>
      </c>
      <c r="U8" s="350"/>
      <c r="V8" s="356"/>
      <c r="W8" s="342"/>
      <c r="X8" s="347"/>
      <c r="Z8" s="348" t="s">
        <v>244</v>
      </c>
      <c r="AA8" s="325"/>
      <c r="AB8" s="350">
        <v>30</v>
      </c>
      <c r="AC8" s="350"/>
      <c r="AD8" s="356"/>
      <c r="AE8" s="342"/>
      <c r="AF8" s="347"/>
      <c r="AH8" s="348" t="s">
        <v>244</v>
      </c>
      <c r="AI8" s="325"/>
      <c r="AJ8" s="350">
        <v>30</v>
      </c>
      <c r="AK8" s="350"/>
      <c r="AL8" s="356"/>
      <c r="AM8" s="342"/>
      <c r="AN8" s="347"/>
    </row>
    <row r="9" spans="1:40" ht="12.75">
      <c r="A9" s="348" t="s">
        <v>245</v>
      </c>
      <c r="B9" s="325"/>
      <c r="C9" s="350">
        <v>2013</v>
      </c>
      <c r="D9" s="350"/>
      <c r="E9" s="356"/>
      <c r="F9" s="342"/>
      <c r="G9" s="347"/>
      <c r="J9" s="348" t="s">
        <v>245</v>
      </c>
      <c r="K9" s="325"/>
      <c r="L9" s="350">
        <v>2013</v>
      </c>
      <c r="M9" s="350"/>
      <c r="N9" s="356"/>
      <c r="O9" s="342"/>
      <c r="P9" s="347"/>
      <c r="R9" s="348" t="s">
        <v>245</v>
      </c>
      <c r="S9" s="325"/>
      <c r="T9" s="350">
        <v>2013</v>
      </c>
      <c r="U9" s="350"/>
      <c r="V9" s="356"/>
      <c r="W9" s="342"/>
      <c r="X9" s="347"/>
      <c r="Z9" s="348" t="s">
        <v>245</v>
      </c>
      <c r="AA9" s="325"/>
      <c r="AB9" s="350">
        <v>2013</v>
      </c>
      <c r="AC9" s="350"/>
      <c r="AD9" s="356"/>
      <c r="AE9" s="342"/>
      <c r="AF9" s="347"/>
      <c r="AH9" s="348" t="s">
        <v>245</v>
      </c>
      <c r="AI9" s="325"/>
      <c r="AJ9" s="350">
        <v>2013</v>
      </c>
      <c r="AK9" s="350"/>
      <c r="AL9" s="356"/>
      <c r="AM9" s="342"/>
      <c r="AN9" s="347"/>
    </row>
    <row r="10" spans="1:40" ht="12.75">
      <c r="A10" s="348"/>
      <c r="B10" s="325"/>
      <c r="C10" s="350"/>
      <c r="D10" s="350"/>
      <c r="E10" s="351"/>
      <c r="F10" s="327"/>
      <c r="G10" s="347"/>
      <c r="J10" s="348"/>
      <c r="K10" s="325"/>
      <c r="L10" s="350"/>
      <c r="M10" s="350"/>
      <c r="N10" s="351"/>
      <c r="O10" s="327"/>
      <c r="P10" s="347"/>
      <c r="R10" s="348"/>
      <c r="S10" s="325"/>
      <c r="T10" s="350"/>
      <c r="U10" s="350"/>
      <c r="V10" s="351"/>
      <c r="W10" s="327"/>
      <c r="X10" s="347"/>
      <c r="Z10" s="348"/>
      <c r="AA10" s="325"/>
      <c r="AB10" s="350"/>
      <c r="AC10" s="350"/>
      <c r="AD10" s="351"/>
      <c r="AE10" s="327"/>
      <c r="AF10" s="347"/>
      <c r="AH10" s="348"/>
      <c r="AI10" s="325"/>
      <c r="AJ10" s="350"/>
      <c r="AK10" s="350"/>
      <c r="AL10" s="351"/>
      <c r="AM10" s="327"/>
      <c r="AN10" s="347"/>
    </row>
    <row r="11" spans="1:40" ht="12.75">
      <c r="A11" s="346"/>
      <c r="B11" s="325"/>
      <c r="C11" s="325"/>
      <c r="D11" s="325"/>
      <c r="E11" s="325"/>
      <c r="F11" s="325"/>
      <c r="G11" s="347"/>
      <c r="I11" s="328"/>
      <c r="J11" s="346"/>
      <c r="K11" s="325"/>
      <c r="L11" s="325"/>
      <c r="M11" s="325"/>
      <c r="N11" s="325"/>
      <c r="O11" s="325"/>
      <c r="P11" s="347"/>
      <c r="R11" s="346"/>
      <c r="S11" s="325"/>
      <c r="T11" s="325"/>
      <c r="U11" s="325"/>
      <c r="V11" s="325"/>
      <c r="W11" s="325"/>
      <c r="X11" s="347"/>
      <c r="Z11" s="346"/>
      <c r="AA11" s="325"/>
      <c r="AB11" s="325"/>
      <c r="AC11" s="325"/>
      <c r="AD11" s="325"/>
      <c r="AE11" s="325"/>
      <c r="AF11" s="347"/>
      <c r="AH11" s="346"/>
      <c r="AI11" s="325"/>
      <c r="AJ11" s="325"/>
      <c r="AK11" s="325"/>
      <c r="AL11" s="325"/>
      <c r="AM11" s="325"/>
      <c r="AN11" s="347"/>
    </row>
    <row r="12" spans="1:40" s="325" customFormat="1" ht="12.75">
      <c r="A12" s="357" t="s">
        <v>246</v>
      </c>
      <c r="B12" s="329" t="s">
        <v>247</v>
      </c>
      <c r="C12" s="330" t="s">
        <v>248</v>
      </c>
      <c r="D12" s="330" t="s">
        <v>249</v>
      </c>
      <c r="E12" s="330" t="s">
        <v>42</v>
      </c>
      <c r="F12" s="330" t="s">
        <v>250</v>
      </c>
      <c r="G12" s="358" t="s">
        <v>251</v>
      </c>
      <c r="H12" s="330"/>
      <c r="I12" s="330"/>
      <c r="J12" s="357" t="s">
        <v>246</v>
      </c>
      <c r="K12" s="329" t="s">
        <v>247</v>
      </c>
      <c r="L12" s="330" t="s">
        <v>248</v>
      </c>
      <c r="M12" s="330" t="s">
        <v>249</v>
      </c>
      <c r="N12" s="330" t="s">
        <v>42</v>
      </c>
      <c r="O12" s="330" t="s">
        <v>250</v>
      </c>
      <c r="P12" s="358" t="s">
        <v>251</v>
      </c>
      <c r="R12" s="357" t="s">
        <v>246</v>
      </c>
      <c r="S12" s="329" t="s">
        <v>247</v>
      </c>
      <c r="T12" s="330" t="s">
        <v>248</v>
      </c>
      <c r="U12" s="330" t="s">
        <v>249</v>
      </c>
      <c r="V12" s="330" t="s">
        <v>42</v>
      </c>
      <c r="W12" s="330" t="s">
        <v>250</v>
      </c>
      <c r="X12" s="358" t="s">
        <v>251</v>
      </c>
      <c r="Z12" s="357" t="s">
        <v>246</v>
      </c>
      <c r="AA12" s="329" t="s">
        <v>247</v>
      </c>
      <c r="AB12" s="330" t="s">
        <v>248</v>
      </c>
      <c r="AC12" s="330" t="s">
        <v>249</v>
      </c>
      <c r="AD12" s="330" t="s">
        <v>42</v>
      </c>
      <c r="AE12" s="330" t="s">
        <v>250</v>
      </c>
      <c r="AF12" s="358" t="s">
        <v>251</v>
      </c>
      <c r="AH12" s="357" t="s">
        <v>246</v>
      </c>
      <c r="AI12" s="329" t="s">
        <v>247</v>
      </c>
      <c r="AJ12" s="330" t="s">
        <v>248</v>
      </c>
      <c r="AK12" s="330" t="s">
        <v>249</v>
      </c>
      <c r="AL12" s="330" t="s">
        <v>42</v>
      </c>
      <c r="AM12" s="330" t="s">
        <v>250</v>
      </c>
      <c r="AN12" s="358" t="s">
        <v>251</v>
      </c>
    </row>
    <row r="13" spans="1:40" ht="12.75">
      <c r="A13" s="359">
        <f>DATE(C9,C7,C8)</f>
        <v>41304</v>
      </c>
      <c r="B13" s="334">
        <v>1</v>
      </c>
      <c r="C13" s="335">
        <f>PMT(D5,D4,-C3)</f>
        <v>227.1751863850151</v>
      </c>
      <c r="D13" s="335"/>
      <c r="E13" s="335">
        <f>D5*C3</f>
        <v>208.33333333333334</v>
      </c>
      <c r="F13" s="335">
        <f>C13-E13+D13</f>
        <v>18.841853051681767</v>
      </c>
      <c r="G13" s="360">
        <f>C3-F13</f>
        <v>24981.158146948317</v>
      </c>
      <c r="H13" s="332" t="e">
        <f>E13*$J$5</f>
        <v>#VALUE!</v>
      </c>
      <c r="I13" s="333"/>
      <c r="J13" s="359">
        <f>DATE(L9,L7,L8)</f>
        <v>41304</v>
      </c>
      <c r="K13" s="334">
        <v>1</v>
      </c>
      <c r="L13" s="335">
        <f>PMT(M5,M4,-L3)</f>
        <v>227.1751863850151</v>
      </c>
      <c r="M13" s="335"/>
      <c r="N13" s="335">
        <f>M5*L3</f>
        <v>208.33333333333334</v>
      </c>
      <c r="O13" s="335">
        <f>L13-N13+M13</f>
        <v>18.841853051681767</v>
      </c>
      <c r="P13" s="360">
        <f>L3-O13</f>
        <v>24981.158146948317</v>
      </c>
      <c r="R13" s="359">
        <f>DATE(T9,T7,T8)</f>
        <v>41304</v>
      </c>
      <c r="S13" s="334">
        <v>1</v>
      </c>
      <c r="T13" s="335">
        <f>PMT(U5,U4,-T3)</f>
        <v>227.1751863850151</v>
      </c>
      <c r="U13" s="335"/>
      <c r="V13" s="335">
        <f>U5*T3</f>
        <v>208.33333333333334</v>
      </c>
      <c r="W13" s="335">
        <f>T13-V13+U13</f>
        <v>18.841853051681767</v>
      </c>
      <c r="X13" s="360">
        <f>T3-W13</f>
        <v>24981.158146948317</v>
      </c>
      <c r="Z13" s="359">
        <f>DATE(AB9,AB7,AB8)</f>
        <v>41304</v>
      </c>
      <c r="AA13" s="334">
        <v>1</v>
      </c>
      <c r="AB13" s="335">
        <f>PMT(AC5,AC4,-AB3)</f>
        <v>227.1751863850151</v>
      </c>
      <c r="AC13" s="335"/>
      <c r="AD13" s="335">
        <f>AC5*AB3</f>
        <v>208.33333333333334</v>
      </c>
      <c r="AE13" s="335">
        <f>AB13-AD13+AC13</f>
        <v>18.841853051681767</v>
      </c>
      <c r="AF13" s="360">
        <f>AB3-AE13</f>
        <v>24981.158146948317</v>
      </c>
      <c r="AH13" s="359">
        <f>DATE(AJ9,AJ7,AJ8)</f>
        <v>41304</v>
      </c>
      <c r="AI13" s="334">
        <v>1</v>
      </c>
      <c r="AJ13" s="335">
        <f>PMT(AK5,AK4,-AJ3)</f>
        <v>227.1751863850151</v>
      </c>
      <c r="AK13" s="335"/>
      <c r="AL13" s="335">
        <f>AK5*AJ3</f>
        <v>208.33333333333334</v>
      </c>
      <c r="AM13" s="335">
        <f>AJ13-AL13+AK13</f>
        <v>18.841853051681767</v>
      </c>
      <c r="AN13" s="360">
        <f>AJ3-AM13</f>
        <v>24981.158146948317</v>
      </c>
    </row>
    <row r="14" spans="1:40" ht="12.75">
      <c r="A14" s="359">
        <f aca="true" t="shared" si="0" ref="A14:A77">IF($C$8&lt;27,DATE((YEAR(A13)-1900),MONTH(A13)+1,$C$8),DATE((YEAR(A13)-1900),MONTH(A13)+2,1)-1)</f>
        <v>41333</v>
      </c>
      <c r="B14" s="334">
        <f aca="true" t="shared" si="1" ref="B14:B77">B13+1</f>
        <v>2</v>
      </c>
      <c r="C14" s="335">
        <f aca="true" t="shared" si="2" ref="C14:C77">IF(G13&gt;0.5,C13,"")</f>
        <v>227.1751863850151</v>
      </c>
      <c r="D14" s="335"/>
      <c r="E14" s="335">
        <f aca="true" t="shared" si="3" ref="E14:E77">IF(G13&gt;0.5,$D$5*G13,"")</f>
        <v>208.17631789123598</v>
      </c>
      <c r="F14" s="335">
        <f>IF(G13&gt;0.5,C14-E14+D14,"")</f>
        <v>18.998868493779128</v>
      </c>
      <c r="G14" s="360">
        <f aca="true" t="shared" si="4" ref="G14:G77">IF(G13&gt;0.5,G13-F14,0)</f>
        <v>24962.15927845454</v>
      </c>
      <c r="H14" s="332" t="e">
        <f aca="true" t="shared" si="5" ref="H14:H77">IF(G13&gt;0.5,E14*$J$5,"")</f>
        <v>#VALUE!</v>
      </c>
      <c r="I14" s="333"/>
      <c r="J14" s="359">
        <f aca="true" t="shared" si="6" ref="J14:J77">IF($C$8&lt;27,DATE((YEAR(J13)-1900),MONTH(J13)+1,$C$8),DATE((YEAR(J13)-1900),MONTH(J13)+2,1)-1)</f>
        <v>41333</v>
      </c>
      <c r="K14" s="334">
        <f aca="true" t="shared" si="7" ref="K14:K77">K13+1</f>
        <v>2</v>
      </c>
      <c r="L14" s="335">
        <f aca="true" t="shared" si="8" ref="L14:L77">IF(P13&gt;0.5,L13,"")</f>
        <v>227.1751863850151</v>
      </c>
      <c r="M14" s="335"/>
      <c r="N14" s="335">
        <f aca="true" t="shared" si="9" ref="N14:N77">IF(P13&gt;0.5,$D$5*P13,"")</f>
        <v>208.17631789123598</v>
      </c>
      <c r="O14" s="335">
        <f>IF(P13&gt;0.5,L14-N14+M14,"")</f>
        <v>18.998868493779128</v>
      </c>
      <c r="P14" s="360">
        <f aca="true" t="shared" si="10" ref="P14:P77">IF(P13&gt;0.5,P13-O14,0)</f>
        <v>24962.15927845454</v>
      </c>
      <c r="R14" s="359">
        <f aca="true" t="shared" si="11" ref="R14:R77">IF($C$8&lt;27,DATE((YEAR(R13)-1900),MONTH(R13)+1,$C$8),DATE((YEAR(R13)-1900),MONTH(R13)+2,1)-1)</f>
        <v>41333</v>
      </c>
      <c r="S14" s="334">
        <f aca="true" t="shared" si="12" ref="S14:S77">S13+1</f>
        <v>2</v>
      </c>
      <c r="T14" s="335">
        <f aca="true" t="shared" si="13" ref="T14:T77">IF(X13&gt;0.5,T13,"")</f>
        <v>227.1751863850151</v>
      </c>
      <c r="U14" s="335"/>
      <c r="V14" s="335">
        <f aca="true" t="shared" si="14" ref="V14:V77">IF(X13&gt;0.5,$D$5*X13,"")</f>
        <v>208.17631789123598</v>
      </c>
      <c r="W14" s="335">
        <f>IF(X13&gt;0.5,T14-V14+U14,"")</f>
        <v>18.998868493779128</v>
      </c>
      <c r="X14" s="360">
        <f aca="true" t="shared" si="15" ref="X14:X77">IF(X13&gt;0.5,X13-W14,0)</f>
        <v>24962.15927845454</v>
      </c>
      <c r="Z14" s="359">
        <f aca="true" t="shared" si="16" ref="Z14:Z77">IF($C$8&lt;27,DATE((YEAR(Z13)-1900),MONTH(Z13)+1,$C$8),DATE((YEAR(Z13)-1900),MONTH(Z13)+2,1)-1)</f>
        <v>41333</v>
      </c>
      <c r="AA14" s="334">
        <f aca="true" t="shared" si="17" ref="AA14:AA77">AA13+1</f>
        <v>2</v>
      </c>
      <c r="AB14" s="335">
        <f aca="true" t="shared" si="18" ref="AB14:AB77">IF(AF13&gt;0.5,AB13,"")</f>
        <v>227.1751863850151</v>
      </c>
      <c r="AC14" s="335"/>
      <c r="AD14" s="335">
        <f aca="true" t="shared" si="19" ref="AD14:AD77">IF(AF13&gt;0.5,$D$5*AF13,"")</f>
        <v>208.17631789123598</v>
      </c>
      <c r="AE14" s="335">
        <f>IF(AF13&gt;0.5,AB14-AD14+AC14,"")</f>
        <v>18.998868493779128</v>
      </c>
      <c r="AF14" s="360">
        <f aca="true" t="shared" si="20" ref="AF14:AF77">IF(AF13&gt;0.5,AF13-AE14,0)</f>
        <v>24962.15927845454</v>
      </c>
      <c r="AH14" s="359">
        <f aca="true" t="shared" si="21" ref="AH14:AH77">IF($C$8&lt;27,DATE((YEAR(AH13)-1900),MONTH(AH13)+1,$C$8),DATE((YEAR(AH13)-1900),MONTH(AH13)+2,1)-1)</f>
        <v>41333</v>
      </c>
      <c r="AI14" s="334">
        <f aca="true" t="shared" si="22" ref="AI14:AI77">AI13+1</f>
        <v>2</v>
      </c>
      <c r="AJ14" s="335">
        <f aca="true" t="shared" si="23" ref="AJ14:AJ77">IF(AN13&gt;0.5,AJ13,"")</f>
        <v>227.1751863850151</v>
      </c>
      <c r="AK14" s="335"/>
      <c r="AL14" s="335">
        <f aca="true" t="shared" si="24" ref="AL14:AL77">IF(AN13&gt;0.5,$D$5*AN13,"")</f>
        <v>208.17631789123598</v>
      </c>
      <c r="AM14" s="335">
        <f>IF(AN13&gt;0.5,AJ14-AL14+AK14,"")</f>
        <v>18.998868493779128</v>
      </c>
      <c r="AN14" s="360">
        <f aca="true" t="shared" si="25" ref="AN14:AN77">IF(AN13&gt;0.5,AN13-AM14,0)</f>
        <v>24962.15927845454</v>
      </c>
    </row>
    <row r="15" spans="1:40" ht="12.75">
      <c r="A15" s="359">
        <f t="shared" si="0"/>
        <v>41364</v>
      </c>
      <c r="B15" s="334">
        <f t="shared" si="1"/>
        <v>3</v>
      </c>
      <c r="C15" s="335">
        <f t="shared" si="2"/>
        <v>227.1751863850151</v>
      </c>
      <c r="D15" s="335"/>
      <c r="E15" s="335">
        <f t="shared" si="3"/>
        <v>208.01799398712114</v>
      </c>
      <c r="F15" s="335">
        <f aca="true" t="shared" si="26" ref="F15:F78">IF(G14&gt;0.5,C15-E15+D15,"")</f>
        <v>19.157192397893965</v>
      </c>
      <c r="G15" s="360">
        <f t="shared" si="4"/>
        <v>24943.002086056644</v>
      </c>
      <c r="H15" s="332" t="e">
        <f t="shared" si="5"/>
        <v>#VALUE!</v>
      </c>
      <c r="I15" s="333"/>
      <c r="J15" s="359">
        <f t="shared" si="6"/>
        <v>41364</v>
      </c>
      <c r="K15" s="334">
        <f t="shared" si="7"/>
        <v>3</v>
      </c>
      <c r="L15" s="335">
        <f t="shared" si="8"/>
        <v>227.1751863850151</v>
      </c>
      <c r="M15" s="335"/>
      <c r="N15" s="335">
        <f t="shared" si="9"/>
        <v>208.01799398712114</v>
      </c>
      <c r="O15" s="335">
        <f aca="true" t="shared" si="27" ref="O15:O78">IF(P14&gt;0.5,L15-N15+M15,"")</f>
        <v>19.157192397893965</v>
      </c>
      <c r="P15" s="360">
        <f t="shared" si="10"/>
        <v>24943.002086056644</v>
      </c>
      <c r="R15" s="359">
        <f t="shared" si="11"/>
        <v>41364</v>
      </c>
      <c r="S15" s="334">
        <f t="shared" si="12"/>
        <v>3</v>
      </c>
      <c r="T15" s="335">
        <f t="shared" si="13"/>
        <v>227.1751863850151</v>
      </c>
      <c r="U15" s="335"/>
      <c r="V15" s="335">
        <f t="shared" si="14"/>
        <v>208.01799398712114</v>
      </c>
      <c r="W15" s="335">
        <f aca="true" t="shared" si="28" ref="W15:W78">IF(X14&gt;0.5,T15-V15+U15,"")</f>
        <v>19.157192397893965</v>
      </c>
      <c r="X15" s="360">
        <f t="shared" si="15"/>
        <v>24943.002086056644</v>
      </c>
      <c r="Z15" s="359">
        <f t="shared" si="16"/>
        <v>41364</v>
      </c>
      <c r="AA15" s="334">
        <f t="shared" si="17"/>
        <v>3</v>
      </c>
      <c r="AB15" s="335">
        <f t="shared" si="18"/>
        <v>227.1751863850151</v>
      </c>
      <c r="AC15" s="335"/>
      <c r="AD15" s="335">
        <f t="shared" si="19"/>
        <v>208.01799398712114</v>
      </c>
      <c r="AE15" s="335">
        <f aca="true" t="shared" si="29" ref="AE15:AE78">IF(AF14&gt;0.5,AB15-AD15+AC15,"")</f>
        <v>19.157192397893965</v>
      </c>
      <c r="AF15" s="360">
        <f t="shared" si="20"/>
        <v>24943.002086056644</v>
      </c>
      <c r="AH15" s="359">
        <f t="shared" si="21"/>
        <v>41364</v>
      </c>
      <c r="AI15" s="334">
        <f t="shared" si="22"/>
        <v>3</v>
      </c>
      <c r="AJ15" s="335">
        <f t="shared" si="23"/>
        <v>227.1751863850151</v>
      </c>
      <c r="AK15" s="335"/>
      <c r="AL15" s="335">
        <f t="shared" si="24"/>
        <v>208.01799398712114</v>
      </c>
      <c r="AM15" s="335">
        <f aca="true" t="shared" si="30" ref="AM15:AM78">IF(AN14&gt;0.5,AJ15-AL15+AK15,"")</f>
        <v>19.157192397893965</v>
      </c>
      <c r="AN15" s="360">
        <f t="shared" si="25"/>
        <v>24943.002086056644</v>
      </c>
    </row>
    <row r="16" spans="1:40" ht="12.75">
      <c r="A16" s="359">
        <f t="shared" si="0"/>
        <v>41394</v>
      </c>
      <c r="B16" s="334">
        <f t="shared" si="1"/>
        <v>4</v>
      </c>
      <c r="C16" s="335">
        <f t="shared" si="2"/>
        <v>227.1751863850151</v>
      </c>
      <c r="D16" s="335"/>
      <c r="E16" s="335">
        <f t="shared" si="3"/>
        <v>207.8583507171387</v>
      </c>
      <c r="F16" s="335">
        <f t="shared" si="26"/>
        <v>19.316835667876404</v>
      </c>
      <c r="G16" s="360">
        <f t="shared" si="4"/>
        <v>24923.685250388768</v>
      </c>
      <c r="H16" s="332" t="e">
        <f t="shared" si="5"/>
        <v>#VALUE!</v>
      </c>
      <c r="I16" s="333"/>
      <c r="J16" s="359">
        <f t="shared" si="6"/>
        <v>41394</v>
      </c>
      <c r="K16" s="334">
        <f t="shared" si="7"/>
        <v>4</v>
      </c>
      <c r="L16" s="335">
        <f t="shared" si="8"/>
        <v>227.1751863850151</v>
      </c>
      <c r="M16" s="335"/>
      <c r="N16" s="335">
        <f t="shared" si="9"/>
        <v>207.8583507171387</v>
      </c>
      <c r="O16" s="335">
        <f t="shared" si="27"/>
        <v>19.316835667876404</v>
      </c>
      <c r="P16" s="360">
        <f t="shared" si="10"/>
        <v>24923.685250388768</v>
      </c>
      <c r="R16" s="359">
        <f t="shared" si="11"/>
        <v>41394</v>
      </c>
      <c r="S16" s="334">
        <f t="shared" si="12"/>
        <v>4</v>
      </c>
      <c r="T16" s="335">
        <f t="shared" si="13"/>
        <v>227.1751863850151</v>
      </c>
      <c r="U16" s="335"/>
      <c r="V16" s="335">
        <f t="shared" si="14"/>
        <v>207.8583507171387</v>
      </c>
      <c r="W16" s="335">
        <f t="shared" si="28"/>
        <v>19.316835667876404</v>
      </c>
      <c r="X16" s="360">
        <f t="shared" si="15"/>
        <v>24923.685250388768</v>
      </c>
      <c r="Z16" s="359">
        <f t="shared" si="16"/>
        <v>41394</v>
      </c>
      <c r="AA16" s="334">
        <f t="shared" si="17"/>
        <v>4</v>
      </c>
      <c r="AB16" s="335">
        <f t="shared" si="18"/>
        <v>227.1751863850151</v>
      </c>
      <c r="AC16" s="335"/>
      <c r="AD16" s="335">
        <f t="shared" si="19"/>
        <v>207.8583507171387</v>
      </c>
      <c r="AE16" s="335">
        <f t="shared" si="29"/>
        <v>19.316835667876404</v>
      </c>
      <c r="AF16" s="360">
        <f t="shared" si="20"/>
        <v>24923.685250388768</v>
      </c>
      <c r="AH16" s="359">
        <f t="shared" si="21"/>
        <v>41394</v>
      </c>
      <c r="AI16" s="334">
        <f t="shared" si="22"/>
        <v>4</v>
      </c>
      <c r="AJ16" s="335">
        <f t="shared" si="23"/>
        <v>227.1751863850151</v>
      </c>
      <c r="AK16" s="335"/>
      <c r="AL16" s="335">
        <f t="shared" si="24"/>
        <v>207.8583507171387</v>
      </c>
      <c r="AM16" s="335">
        <f t="shared" si="30"/>
        <v>19.316835667876404</v>
      </c>
      <c r="AN16" s="360">
        <f t="shared" si="25"/>
        <v>24923.685250388768</v>
      </c>
    </row>
    <row r="17" spans="1:40" ht="12.75">
      <c r="A17" s="359">
        <f t="shared" si="0"/>
        <v>41425</v>
      </c>
      <c r="B17" s="334">
        <f t="shared" si="1"/>
        <v>5</v>
      </c>
      <c r="C17" s="335">
        <f t="shared" si="2"/>
        <v>227.1751863850151</v>
      </c>
      <c r="D17" s="335"/>
      <c r="E17" s="335">
        <f t="shared" si="3"/>
        <v>207.69737708657306</v>
      </c>
      <c r="F17" s="335">
        <f t="shared" si="26"/>
        <v>19.477809298442054</v>
      </c>
      <c r="G17" s="360">
        <f t="shared" si="4"/>
        <v>24904.207441090326</v>
      </c>
      <c r="H17" s="332" t="e">
        <f t="shared" si="5"/>
        <v>#VALUE!</v>
      </c>
      <c r="I17" s="333"/>
      <c r="J17" s="359">
        <f t="shared" si="6"/>
        <v>41425</v>
      </c>
      <c r="K17" s="334">
        <f t="shared" si="7"/>
        <v>5</v>
      </c>
      <c r="L17" s="335">
        <f t="shared" si="8"/>
        <v>227.1751863850151</v>
      </c>
      <c r="M17" s="335"/>
      <c r="N17" s="335">
        <f t="shared" si="9"/>
        <v>207.69737708657306</v>
      </c>
      <c r="O17" s="335">
        <f t="shared" si="27"/>
        <v>19.477809298442054</v>
      </c>
      <c r="P17" s="360">
        <f t="shared" si="10"/>
        <v>24904.207441090326</v>
      </c>
      <c r="R17" s="359">
        <f t="shared" si="11"/>
        <v>41425</v>
      </c>
      <c r="S17" s="334">
        <f t="shared" si="12"/>
        <v>5</v>
      </c>
      <c r="T17" s="335">
        <f t="shared" si="13"/>
        <v>227.1751863850151</v>
      </c>
      <c r="U17" s="335"/>
      <c r="V17" s="335">
        <f t="shared" si="14"/>
        <v>207.69737708657306</v>
      </c>
      <c r="W17" s="335">
        <f t="shared" si="28"/>
        <v>19.477809298442054</v>
      </c>
      <c r="X17" s="360">
        <f t="shared" si="15"/>
        <v>24904.207441090326</v>
      </c>
      <c r="Z17" s="359">
        <f t="shared" si="16"/>
        <v>41425</v>
      </c>
      <c r="AA17" s="334">
        <f t="shared" si="17"/>
        <v>5</v>
      </c>
      <c r="AB17" s="335">
        <f t="shared" si="18"/>
        <v>227.1751863850151</v>
      </c>
      <c r="AC17" s="335"/>
      <c r="AD17" s="335">
        <f t="shared" si="19"/>
        <v>207.69737708657306</v>
      </c>
      <c r="AE17" s="335">
        <f t="shared" si="29"/>
        <v>19.477809298442054</v>
      </c>
      <c r="AF17" s="360">
        <f t="shared" si="20"/>
        <v>24904.207441090326</v>
      </c>
      <c r="AH17" s="359">
        <f t="shared" si="21"/>
        <v>41425</v>
      </c>
      <c r="AI17" s="334">
        <f t="shared" si="22"/>
        <v>5</v>
      </c>
      <c r="AJ17" s="335">
        <f t="shared" si="23"/>
        <v>227.1751863850151</v>
      </c>
      <c r="AK17" s="335"/>
      <c r="AL17" s="335">
        <f t="shared" si="24"/>
        <v>207.69737708657306</v>
      </c>
      <c r="AM17" s="335">
        <f t="shared" si="30"/>
        <v>19.477809298442054</v>
      </c>
      <c r="AN17" s="360">
        <f t="shared" si="25"/>
        <v>24904.207441090326</v>
      </c>
    </row>
    <row r="18" spans="1:40" ht="12.75">
      <c r="A18" s="359">
        <f t="shared" si="0"/>
        <v>41455</v>
      </c>
      <c r="B18" s="334">
        <f t="shared" si="1"/>
        <v>6</v>
      </c>
      <c r="C18" s="335">
        <f t="shared" si="2"/>
        <v>227.1751863850151</v>
      </c>
      <c r="D18" s="335"/>
      <c r="E18" s="335">
        <f t="shared" si="3"/>
        <v>207.53506200908603</v>
      </c>
      <c r="F18" s="335">
        <f t="shared" si="26"/>
        <v>19.640124375929076</v>
      </c>
      <c r="G18" s="360">
        <f t="shared" si="4"/>
        <v>24884.567316714398</v>
      </c>
      <c r="H18" s="332" t="e">
        <f t="shared" si="5"/>
        <v>#VALUE!</v>
      </c>
      <c r="I18" s="333"/>
      <c r="J18" s="359">
        <f t="shared" si="6"/>
        <v>41455</v>
      </c>
      <c r="K18" s="334">
        <f t="shared" si="7"/>
        <v>6</v>
      </c>
      <c r="L18" s="335">
        <f t="shared" si="8"/>
        <v>227.1751863850151</v>
      </c>
      <c r="M18" s="335"/>
      <c r="N18" s="335">
        <f t="shared" si="9"/>
        <v>207.53506200908603</v>
      </c>
      <c r="O18" s="335">
        <f t="shared" si="27"/>
        <v>19.640124375929076</v>
      </c>
      <c r="P18" s="360">
        <f t="shared" si="10"/>
        <v>24884.567316714398</v>
      </c>
      <c r="R18" s="359">
        <f t="shared" si="11"/>
        <v>41455</v>
      </c>
      <c r="S18" s="334">
        <f t="shared" si="12"/>
        <v>6</v>
      </c>
      <c r="T18" s="335">
        <f t="shared" si="13"/>
        <v>227.1751863850151</v>
      </c>
      <c r="U18" s="335"/>
      <c r="V18" s="335">
        <f t="shared" si="14"/>
        <v>207.53506200908603</v>
      </c>
      <c r="W18" s="335">
        <f t="shared" si="28"/>
        <v>19.640124375929076</v>
      </c>
      <c r="X18" s="360">
        <f t="shared" si="15"/>
        <v>24884.567316714398</v>
      </c>
      <c r="Z18" s="359">
        <f t="shared" si="16"/>
        <v>41455</v>
      </c>
      <c r="AA18" s="334">
        <f t="shared" si="17"/>
        <v>6</v>
      </c>
      <c r="AB18" s="335">
        <f t="shared" si="18"/>
        <v>227.1751863850151</v>
      </c>
      <c r="AC18" s="335"/>
      <c r="AD18" s="335">
        <f t="shared" si="19"/>
        <v>207.53506200908603</v>
      </c>
      <c r="AE18" s="335">
        <f t="shared" si="29"/>
        <v>19.640124375929076</v>
      </c>
      <c r="AF18" s="360">
        <f t="shared" si="20"/>
        <v>24884.567316714398</v>
      </c>
      <c r="AH18" s="359">
        <f t="shared" si="21"/>
        <v>41455</v>
      </c>
      <c r="AI18" s="334">
        <f t="shared" si="22"/>
        <v>6</v>
      </c>
      <c r="AJ18" s="335">
        <f t="shared" si="23"/>
        <v>227.1751863850151</v>
      </c>
      <c r="AK18" s="335"/>
      <c r="AL18" s="335">
        <f t="shared" si="24"/>
        <v>207.53506200908603</v>
      </c>
      <c r="AM18" s="335">
        <f t="shared" si="30"/>
        <v>19.640124375929076</v>
      </c>
      <c r="AN18" s="360">
        <f t="shared" si="25"/>
        <v>24884.567316714398</v>
      </c>
    </row>
    <row r="19" spans="1:40" ht="12.75">
      <c r="A19" s="359">
        <f t="shared" si="0"/>
        <v>41486</v>
      </c>
      <c r="B19" s="334">
        <f t="shared" si="1"/>
        <v>7</v>
      </c>
      <c r="C19" s="335">
        <f t="shared" si="2"/>
        <v>227.1751863850151</v>
      </c>
      <c r="D19" s="335"/>
      <c r="E19" s="335">
        <f t="shared" si="3"/>
        <v>207.37139430595332</v>
      </c>
      <c r="F19" s="335">
        <f t="shared" si="26"/>
        <v>19.803792079061793</v>
      </c>
      <c r="G19" s="360">
        <f t="shared" si="4"/>
        <v>24864.763524635335</v>
      </c>
      <c r="H19" s="332" t="e">
        <f t="shared" si="5"/>
        <v>#VALUE!</v>
      </c>
      <c r="I19" s="333"/>
      <c r="J19" s="359">
        <f t="shared" si="6"/>
        <v>41486</v>
      </c>
      <c r="K19" s="334">
        <f t="shared" si="7"/>
        <v>7</v>
      </c>
      <c r="L19" s="335">
        <f t="shared" si="8"/>
        <v>227.1751863850151</v>
      </c>
      <c r="M19" s="335"/>
      <c r="N19" s="335">
        <f t="shared" si="9"/>
        <v>207.37139430595332</v>
      </c>
      <c r="O19" s="335">
        <f t="shared" si="27"/>
        <v>19.803792079061793</v>
      </c>
      <c r="P19" s="360">
        <f t="shared" si="10"/>
        <v>24864.763524635335</v>
      </c>
      <c r="R19" s="359">
        <f t="shared" si="11"/>
        <v>41486</v>
      </c>
      <c r="S19" s="334">
        <f t="shared" si="12"/>
        <v>7</v>
      </c>
      <c r="T19" s="335">
        <f t="shared" si="13"/>
        <v>227.1751863850151</v>
      </c>
      <c r="U19" s="335"/>
      <c r="V19" s="335">
        <f t="shared" si="14"/>
        <v>207.37139430595332</v>
      </c>
      <c r="W19" s="335">
        <f t="shared" si="28"/>
        <v>19.803792079061793</v>
      </c>
      <c r="X19" s="360">
        <f t="shared" si="15"/>
        <v>24864.763524635335</v>
      </c>
      <c r="Z19" s="359">
        <f t="shared" si="16"/>
        <v>41486</v>
      </c>
      <c r="AA19" s="334">
        <f t="shared" si="17"/>
        <v>7</v>
      </c>
      <c r="AB19" s="335">
        <f t="shared" si="18"/>
        <v>227.1751863850151</v>
      </c>
      <c r="AC19" s="335"/>
      <c r="AD19" s="335">
        <f t="shared" si="19"/>
        <v>207.37139430595332</v>
      </c>
      <c r="AE19" s="335">
        <f t="shared" si="29"/>
        <v>19.803792079061793</v>
      </c>
      <c r="AF19" s="360">
        <f t="shared" si="20"/>
        <v>24864.763524635335</v>
      </c>
      <c r="AH19" s="359">
        <f t="shared" si="21"/>
        <v>41486</v>
      </c>
      <c r="AI19" s="334">
        <f t="shared" si="22"/>
        <v>7</v>
      </c>
      <c r="AJ19" s="335">
        <f t="shared" si="23"/>
        <v>227.1751863850151</v>
      </c>
      <c r="AK19" s="335"/>
      <c r="AL19" s="335">
        <f t="shared" si="24"/>
        <v>207.37139430595332</v>
      </c>
      <c r="AM19" s="335">
        <f t="shared" si="30"/>
        <v>19.803792079061793</v>
      </c>
      <c r="AN19" s="360">
        <f t="shared" si="25"/>
        <v>24864.763524635335</v>
      </c>
    </row>
    <row r="20" spans="1:40" ht="12.75">
      <c r="A20" s="359">
        <f t="shared" si="0"/>
        <v>41517</v>
      </c>
      <c r="B20" s="334">
        <f t="shared" si="1"/>
        <v>8</v>
      </c>
      <c r="C20" s="335">
        <f t="shared" si="2"/>
        <v>227.1751863850151</v>
      </c>
      <c r="D20" s="335"/>
      <c r="E20" s="335">
        <f t="shared" si="3"/>
        <v>207.20636270529445</v>
      </c>
      <c r="F20" s="335">
        <f t="shared" si="26"/>
        <v>19.968823679720657</v>
      </c>
      <c r="G20" s="360">
        <f t="shared" si="4"/>
        <v>24844.794700955616</v>
      </c>
      <c r="H20" s="332" t="e">
        <f t="shared" si="5"/>
        <v>#VALUE!</v>
      </c>
      <c r="I20" s="333"/>
      <c r="J20" s="359">
        <f t="shared" si="6"/>
        <v>41517</v>
      </c>
      <c r="K20" s="334">
        <f t="shared" si="7"/>
        <v>8</v>
      </c>
      <c r="L20" s="335">
        <f t="shared" si="8"/>
        <v>227.1751863850151</v>
      </c>
      <c r="M20" s="335"/>
      <c r="N20" s="335">
        <f t="shared" si="9"/>
        <v>207.20636270529445</v>
      </c>
      <c r="O20" s="335">
        <f t="shared" si="27"/>
        <v>19.968823679720657</v>
      </c>
      <c r="P20" s="360">
        <f t="shared" si="10"/>
        <v>24844.794700955616</v>
      </c>
      <c r="R20" s="359">
        <f t="shared" si="11"/>
        <v>41517</v>
      </c>
      <c r="S20" s="334">
        <f t="shared" si="12"/>
        <v>8</v>
      </c>
      <c r="T20" s="335">
        <f t="shared" si="13"/>
        <v>227.1751863850151</v>
      </c>
      <c r="U20" s="335"/>
      <c r="V20" s="335">
        <f t="shared" si="14"/>
        <v>207.20636270529445</v>
      </c>
      <c r="W20" s="335">
        <f t="shared" si="28"/>
        <v>19.968823679720657</v>
      </c>
      <c r="X20" s="360">
        <f t="shared" si="15"/>
        <v>24844.794700955616</v>
      </c>
      <c r="Z20" s="359">
        <f t="shared" si="16"/>
        <v>41517</v>
      </c>
      <c r="AA20" s="334">
        <f t="shared" si="17"/>
        <v>8</v>
      </c>
      <c r="AB20" s="335">
        <f t="shared" si="18"/>
        <v>227.1751863850151</v>
      </c>
      <c r="AC20" s="335"/>
      <c r="AD20" s="335">
        <f t="shared" si="19"/>
        <v>207.20636270529445</v>
      </c>
      <c r="AE20" s="335">
        <f t="shared" si="29"/>
        <v>19.968823679720657</v>
      </c>
      <c r="AF20" s="360">
        <f t="shared" si="20"/>
        <v>24844.794700955616</v>
      </c>
      <c r="AH20" s="359">
        <f t="shared" si="21"/>
        <v>41517</v>
      </c>
      <c r="AI20" s="334">
        <f t="shared" si="22"/>
        <v>8</v>
      </c>
      <c r="AJ20" s="335">
        <f t="shared" si="23"/>
        <v>227.1751863850151</v>
      </c>
      <c r="AK20" s="335"/>
      <c r="AL20" s="335">
        <f t="shared" si="24"/>
        <v>207.20636270529445</v>
      </c>
      <c r="AM20" s="335">
        <f t="shared" si="30"/>
        <v>19.968823679720657</v>
      </c>
      <c r="AN20" s="360">
        <f t="shared" si="25"/>
        <v>24844.794700955616</v>
      </c>
    </row>
    <row r="21" spans="1:40" ht="12.75">
      <c r="A21" s="359">
        <f t="shared" si="0"/>
        <v>41547</v>
      </c>
      <c r="B21" s="334">
        <f t="shared" si="1"/>
        <v>9</v>
      </c>
      <c r="C21" s="335">
        <f t="shared" si="2"/>
        <v>227.1751863850151</v>
      </c>
      <c r="D21" s="335"/>
      <c r="E21" s="335">
        <f t="shared" si="3"/>
        <v>207.0399558412968</v>
      </c>
      <c r="F21" s="335">
        <f t="shared" si="26"/>
        <v>20.135230543718308</v>
      </c>
      <c r="G21" s="360">
        <f t="shared" si="4"/>
        <v>24824.659470411898</v>
      </c>
      <c r="H21" s="332" t="e">
        <f t="shared" si="5"/>
        <v>#VALUE!</v>
      </c>
      <c r="I21" s="333"/>
      <c r="J21" s="359">
        <f t="shared" si="6"/>
        <v>41547</v>
      </c>
      <c r="K21" s="334">
        <f t="shared" si="7"/>
        <v>9</v>
      </c>
      <c r="L21" s="335">
        <f t="shared" si="8"/>
        <v>227.1751863850151</v>
      </c>
      <c r="M21" s="335"/>
      <c r="N21" s="335">
        <f t="shared" si="9"/>
        <v>207.0399558412968</v>
      </c>
      <c r="O21" s="335">
        <f t="shared" si="27"/>
        <v>20.135230543718308</v>
      </c>
      <c r="P21" s="360">
        <f t="shared" si="10"/>
        <v>24824.659470411898</v>
      </c>
      <c r="R21" s="359">
        <f t="shared" si="11"/>
        <v>41547</v>
      </c>
      <c r="S21" s="334">
        <f t="shared" si="12"/>
        <v>9</v>
      </c>
      <c r="T21" s="335">
        <f t="shared" si="13"/>
        <v>227.1751863850151</v>
      </c>
      <c r="U21" s="335"/>
      <c r="V21" s="335">
        <f t="shared" si="14"/>
        <v>207.0399558412968</v>
      </c>
      <c r="W21" s="335">
        <f t="shared" si="28"/>
        <v>20.135230543718308</v>
      </c>
      <c r="X21" s="360">
        <f t="shared" si="15"/>
        <v>24824.659470411898</v>
      </c>
      <c r="Z21" s="359">
        <f t="shared" si="16"/>
        <v>41547</v>
      </c>
      <c r="AA21" s="334">
        <f t="shared" si="17"/>
        <v>9</v>
      </c>
      <c r="AB21" s="335">
        <f t="shared" si="18"/>
        <v>227.1751863850151</v>
      </c>
      <c r="AC21" s="335"/>
      <c r="AD21" s="335">
        <f t="shared" si="19"/>
        <v>207.0399558412968</v>
      </c>
      <c r="AE21" s="335">
        <f t="shared" si="29"/>
        <v>20.135230543718308</v>
      </c>
      <c r="AF21" s="360">
        <f t="shared" si="20"/>
        <v>24824.659470411898</v>
      </c>
      <c r="AH21" s="359">
        <f t="shared" si="21"/>
        <v>41547</v>
      </c>
      <c r="AI21" s="334">
        <f t="shared" si="22"/>
        <v>9</v>
      </c>
      <c r="AJ21" s="335">
        <f t="shared" si="23"/>
        <v>227.1751863850151</v>
      </c>
      <c r="AK21" s="335"/>
      <c r="AL21" s="335">
        <f t="shared" si="24"/>
        <v>207.0399558412968</v>
      </c>
      <c r="AM21" s="335">
        <f t="shared" si="30"/>
        <v>20.135230543718308</v>
      </c>
      <c r="AN21" s="360">
        <f t="shared" si="25"/>
        <v>24824.659470411898</v>
      </c>
    </row>
    <row r="22" spans="1:40" ht="12.75">
      <c r="A22" s="359">
        <f t="shared" si="0"/>
        <v>41578</v>
      </c>
      <c r="B22" s="334">
        <f t="shared" si="1"/>
        <v>10</v>
      </c>
      <c r="C22" s="335">
        <f t="shared" si="2"/>
        <v>227.1751863850151</v>
      </c>
      <c r="D22" s="335"/>
      <c r="E22" s="335">
        <f t="shared" si="3"/>
        <v>206.8721622534325</v>
      </c>
      <c r="F22" s="335">
        <f t="shared" si="26"/>
        <v>20.303024131582617</v>
      </c>
      <c r="G22" s="360">
        <f t="shared" si="4"/>
        <v>24804.356446280315</v>
      </c>
      <c r="H22" s="332" t="e">
        <f t="shared" si="5"/>
        <v>#VALUE!</v>
      </c>
      <c r="I22" s="333"/>
      <c r="J22" s="359">
        <f t="shared" si="6"/>
        <v>41578</v>
      </c>
      <c r="K22" s="334">
        <f t="shared" si="7"/>
        <v>10</v>
      </c>
      <c r="L22" s="335">
        <f t="shared" si="8"/>
        <v>227.1751863850151</v>
      </c>
      <c r="M22" s="335"/>
      <c r="N22" s="335">
        <f t="shared" si="9"/>
        <v>206.8721622534325</v>
      </c>
      <c r="O22" s="335">
        <f t="shared" si="27"/>
        <v>20.303024131582617</v>
      </c>
      <c r="P22" s="360">
        <f t="shared" si="10"/>
        <v>24804.356446280315</v>
      </c>
      <c r="R22" s="359">
        <f t="shared" si="11"/>
        <v>41578</v>
      </c>
      <c r="S22" s="334">
        <f t="shared" si="12"/>
        <v>10</v>
      </c>
      <c r="T22" s="335">
        <f t="shared" si="13"/>
        <v>227.1751863850151</v>
      </c>
      <c r="U22" s="335"/>
      <c r="V22" s="335">
        <f t="shared" si="14"/>
        <v>206.8721622534325</v>
      </c>
      <c r="W22" s="335">
        <f t="shared" si="28"/>
        <v>20.303024131582617</v>
      </c>
      <c r="X22" s="360">
        <f t="shared" si="15"/>
        <v>24804.356446280315</v>
      </c>
      <c r="Z22" s="359">
        <f t="shared" si="16"/>
        <v>41578</v>
      </c>
      <c r="AA22" s="334">
        <f t="shared" si="17"/>
        <v>10</v>
      </c>
      <c r="AB22" s="335">
        <f t="shared" si="18"/>
        <v>227.1751863850151</v>
      </c>
      <c r="AC22" s="335"/>
      <c r="AD22" s="335">
        <f t="shared" si="19"/>
        <v>206.8721622534325</v>
      </c>
      <c r="AE22" s="335">
        <f t="shared" si="29"/>
        <v>20.303024131582617</v>
      </c>
      <c r="AF22" s="360">
        <f t="shared" si="20"/>
        <v>24804.356446280315</v>
      </c>
      <c r="AH22" s="359">
        <f t="shared" si="21"/>
        <v>41578</v>
      </c>
      <c r="AI22" s="334">
        <f t="shared" si="22"/>
        <v>10</v>
      </c>
      <c r="AJ22" s="335">
        <f t="shared" si="23"/>
        <v>227.1751863850151</v>
      </c>
      <c r="AK22" s="335"/>
      <c r="AL22" s="335">
        <f t="shared" si="24"/>
        <v>206.8721622534325</v>
      </c>
      <c r="AM22" s="335">
        <f t="shared" si="30"/>
        <v>20.303024131582617</v>
      </c>
      <c r="AN22" s="360">
        <f t="shared" si="25"/>
        <v>24804.356446280315</v>
      </c>
    </row>
    <row r="23" spans="1:40" ht="12.75">
      <c r="A23" s="359">
        <f t="shared" si="0"/>
        <v>41608</v>
      </c>
      <c r="B23" s="334">
        <f t="shared" si="1"/>
        <v>11</v>
      </c>
      <c r="C23" s="335">
        <f t="shared" si="2"/>
        <v>227.1751863850151</v>
      </c>
      <c r="D23" s="335"/>
      <c r="E23" s="335">
        <f t="shared" si="3"/>
        <v>206.7029703856693</v>
      </c>
      <c r="F23" s="335">
        <f t="shared" si="26"/>
        <v>20.47221599934582</v>
      </c>
      <c r="G23" s="360">
        <f t="shared" si="4"/>
        <v>24783.884230280968</v>
      </c>
      <c r="H23" s="332" t="e">
        <f t="shared" si="5"/>
        <v>#VALUE!</v>
      </c>
      <c r="I23" s="333"/>
      <c r="J23" s="359">
        <f t="shared" si="6"/>
        <v>41608</v>
      </c>
      <c r="K23" s="334">
        <f t="shared" si="7"/>
        <v>11</v>
      </c>
      <c r="L23" s="335">
        <f t="shared" si="8"/>
        <v>227.1751863850151</v>
      </c>
      <c r="M23" s="335"/>
      <c r="N23" s="335">
        <f t="shared" si="9"/>
        <v>206.7029703856693</v>
      </c>
      <c r="O23" s="335">
        <f t="shared" si="27"/>
        <v>20.47221599934582</v>
      </c>
      <c r="P23" s="360">
        <f t="shared" si="10"/>
        <v>24783.884230280968</v>
      </c>
      <c r="R23" s="359">
        <f t="shared" si="11"/>
        <v>41608</v>
      </c>
      <c r="S23" s="334">
        <f t="shared" si="12"/>
        <v>11</v>
      </c>
      <c r="T23" s="335">
        <f t="shared" si="13"/>
        <v>227.1751863850151</v>
      </c>
      <c r="U23" s="335"/>
      <c r="V23" s="335">
        <f t="shared" si="14"/>
        <v>206.7029703856693</v>
      </c>
      <c r="W23" s="335">
        <f t="shared" si="28"/>
        <v>20.47221599934582</v>
      </c>
      <c r="X23" s="360">
        <f t="shared" si="15"/>
        <v>24783.884230280968</v>
      </c>
      <c r="Z23" s="359">
        <f t="shared" si="16"/>
        <v>41608</v>
      </c>
      <c r="AA23" s="334">
        <f t="shared" si="17"/>
        <v>11</v>
      </c>
      <c r="AB23" s="335">
        <f t="shared" si="18"/>
        <v>227.1751863850151</v>
      </c>
      <c r="AC23" s="335"/>
      <c r="AD23" s="335">
        <f t="shared" si="19"/>
        <v>206.7029703856693</v>
      </c>
      <c r="AE23" s="335">
        <f t="shared" si="29"/>
        <v>20.47221599934582</v>
      </c>
      <c r="AF23" s="360">
        <f t="shared" si="20"/>
        <v>24783.884230280968</v>
      </c>
      <c r="AH23" s="359">
        <f t="shared" si="21"/>
        <v>41608</v>
      </c>
      <c r="AI23" s="334">
        <f t="shared" si="22"/>
        <v>11</v>
      </c>
      <c r="AJ23" s="335">
        <f t="shared" si="23"/>
        <v>227.1751863850151</v>
      </c>
      <c r="AK23" s="335"/>
      <c r="AL23" s="335">
        <f t="shared" si="24"/>
        <v>206.7029703856693</v>
      </c>
      <c r="AM23" s="335">
        <f t="shared" si="30"/>
        <v>20.47221599934582</v>
      </c>
      <c r="AN23" s="360">
        <f t="shared" si="25"/>
        <v>24783.884230280968</v>
      </c>
    </row>
    <row r="24" spans="1:40" ht="12.75">
      <c r="A24" s="359">
        <f t="shared" si="0"/>
        <v>41639</v>
      </c>
      <c r="B24" s="334">
        <f t="shared" si="1"/>
        <v>12</v>
      </c>
      <c r="C24" s="335">
        <f t="shared" si="2"/>
        <v>227.1751863850151</v>
      </c>
      <c r="D24" s="335"/>
      <c r="E24" s="335">
        <f t="shared" si="3"/>
        <v>206.53236858567473</v>
      </c>
      <c r="F24" s="335">
        <f t="shared" si="26"/>
        <v>20.642817799340378</v>
      </c>
      <c r="G24" s="360">
        <f t="shared" si="4"/>
        <v>24763.241412481628</v>
      </c>
      <c r="H24" s="332" t="e">
        <f t="shared" si="5"/>
        <v>#VALUE!</v>
      </c>
      <c r="I24" s="333"/>
      <c r="J24" s="359">
        <f t="shared" si="6"/>
        <v>41639</v>
      </c>
      <c r="K24" s="334">
        <f t="shared" si="7"/>
        <v>12</v>
      </c>
      <c r="L24" s="335">
        <f t="shared" si="8"/>
        <v>227.1751863850151</v>
      </c>
      <c r="M24" s="335"/>
      <c r="N24" s="335">
        <f t="shared" si="9"/>
        <v>206.53236858567473</v>
      </c>
      <c r="O24" s="335">
        <f t="shared" si="27"/>
        <v>20.642817799340378</v>
      </c>
      <c r="P24" s="360">
        <f t="shared" si="10"/>
        <v>24763.241412481628</v>
      </c>
      <c r="R24" s="359">
        <f t="shared" si="11"/>
        <v>41639</v>
      </c>
      <c r="S24" s="334">
        <f t="shared" si="12"/>
        <v>12</v>
      </c>
      <c r="T24" s="335">
        <f t="shared" si="13"/>
        <v>227.1751863850151</v>
      </c>
      <c r="U24" s="335"/>
      <c r="V24" s="335">
        <f t="shared" si="14"/>
        <v>206.53236858567473</v>
      </c>
      <c r="W24" s="335">
        <f t="shared" si="28"/>
        <v>20.642817799340378</v>
      </c>
      <c r="X24" s="360">
        <f t="shared" si="15"/>
        <v>24763.241412481628</v>
      </c>
      <c r="Z24" s="359">
        <f t="shared" si="16"/>
        <v>41639</v>
      </c>
      <c r="AA24" s="334">
        <f t="shared" si="17"/>
        <v>12</v>
      </c>
      <c r="AB24" s="335">
        <f t="shared" si="18"/>
        <v>227.1751863850151</v>
      </c>
      <c r="AC24" s="335"/>
      <c r="AD24" s="335">
        <f t="shared" si="19"/>
        <v>206.53236858567473</v>
      </c>
      <c r="AE24" s="335">
        <f t="shared" si="29"/>
        <v>20.642817799340378</v>
      </c>
      <c r="AF24" s="360">
        <f t="shared" si="20"/>
        <v>24763.241412481628</v>
      </c>
      <c r="AH24" s="359">
        <f t="shared" si="21"/>
        <v>41639</v>
      </c>
      <c r="AI24" s="334">
        <f t="shared" si="22"/>
        <v>12</v>
      </c>
      <c r="AJ24" s="335">
        <f t="shared" si="23"/>
        <v>227.1751863850151</v>
      </c>
      <c r="AK24" s="335"/>
      <c r="AL24" s="335">
        <f t="shared" si="24"/>
        <v>206.53236858567473</v>
      </c>
      <c r="AM24" s="335">
        <f t="shared" si="30"/>
        <v>20.642817799340378</v>
      </c>
      <c r="AN24" s="360">
        <f t="shared" si="25"/>
        <v>24763.241412481628</v>
      </c>
    </row>
    <row r="25" spans="1:40" ht="12.75">
      <c r="A25" s="359">
        <f t="shared" si="0"/>
        <v>41670</v>
      </c>
      <c r="B25" s="334">
        <f t="shared" si="1"/>
        <v>13</v>
      </c>
      <c r="C25" s="335">
        <f t="shared" si="2"/>
        <v>227.1751863850151</v>
      </c>
      <c r="D25" s="335"/>
      <c r="E25" s="335">
        <f t="shared" si="3"/>
        <v>206.36034510401356</v>
      </c>
      <c r="F25" s="335">
        <f t="shared" si="26"/>
        <v>20.81484128100155</v>
      </c>
      <c r="G25" s="360">
        <f t="shared" si="4"/>
        <v>24742.426571200627</v>
      </c>
      <c r="H25" s="332" t="e">
        <f t="shared" si="5"/>
        <v>#VALUE!</v>
      </c>
      <c r="I25" s="333"/>
      <c r="J25" s="359">
        <f t="shared" si="6"/>
        <v>41670</v>
      </c>
      <c r="K25" s="334">
        <f t="shared" si="7"/>
        <v>13</v>
      </c>
      <c r="L25" s="335">
        <f t="shared" si="8"/>
        <v>227.1751863850151</v>
      </c>
      <c r="M25" s="335"/>
      <c r="N25" s="335">
        <f t="shared" si="9"/>
        <v>206.36034510401356</v>
      </c>
      <c r="O25" s="335">
        <f t="shared" si="27"/>
        <v>20.81484128100155</v>
      </c>
      <c r="P25" s="360">
        <f t="shared" si="10"/>
        <v>24742.426571200627</v>
      </c>
      <c r="R25" s="359">
        <f t="shared" si="11"/>
        <v>41670</v>
      </c>
      <c r="S25" s="334">
        <f t="shared" si="12"/>
        <v>13</v>
      </c>
      <c r="T25" s="335">
        <f t="shared" si="13"/>
        <v>227.1751863850151</v>
      </c>
      <c r="U25" s="335"/>
      <c r="V25" s="335">
        <f t="shared" si="14"/>
        <v>206.36034510401356</v>
      </c>
      <c r="W25" s="335">
        <f t="shared" si="28"/>
        <v>20.81484128100155</v>
      </c>
      <c r="X25" s="360">
        <f t="shared" si="15"/>
        <v>24742.426571200627</v>
      </c>
      <c r="Z25" s="359">
        <f t="shared" si="16"/>
        <v>41670</v>
      </c>
      <c r="AA25" s="334">
        <f t="shared" si="17"/>
        <v>13</v>
      </c>
      <c r="AB25" s="335">
        <f t="shared" si="18"/>
        <v>227.1751863850151</v>
      </c>
      <c r="AC25" s="335"/>
      <c r="AD25" s="335">
        <f t="shared" si="19"/>
        <v>206.36034510401356</v>
      </c>
      <c r="AE25" s="335">
        <f t="shared" si="29"/>
        <v>20.81484128100155</v>
      </c>
      <c r="AF25" s="360">
        <f t="shared" si="20"/>
        <v>24742.426571200627</v>
      </c>
      <c r="AH25" s="359">
        <f t="shared" si="21"/>
        <v>41670</v>
      </c>
      <c r="AI25" s="334">
        <f t="shared" si="22"/>
        <v>13</v>
      </c>
      <c r="AJ25" s="335">
        <f t="shared" si="23"/>
        <v>227.1751863850151</v>
      </c>
      <c r="AK25" s="335"/>
      <c r="AL25" s="335">
        <f t="shared" si="24"/>
        <v>206.36034510401356</v>
      </c>
      <c r="AM25" s="335">
        <f t="shared" si="30"/>
        <v>20.81484128100155</v>
      </c>
      <c r="AN25" s="360">
        <f t="shared" si="25"/>
        <v>24742.426571200627</v>
      </c>
    </row>
    <row r="26" spans="1:40" ht="12.75">
      <c r="A26" s="359">
        <f t="shared" si="0"/>
        <v>41698</v>
      </c>
      <c r="B26" s="334">
        <f t="shared" si="1"/>
        <v>14</v>
      </c>
      <c r="C26" s="335">
        <f t="shared" si="2"/>
        <v>227.1751863850151</v>
      </c>
      <c r="D26" s="335"/>
      <c r="E26" s="335">
        <f t="shared" si="3"/>
        <v>206.18688809333855</v>
      </c>
      <c r="F26" s="335">
        <f t="shared" si="26"/>
        <v>20.988298291676557</v>
      </c>
      <c r="G26" s="360">
        <f t="shared" si="4"/>
        <v>24721.438272908952</v>
      </c>
      <c r="H26" s="332" t="e">
        <f t="shared" si="5"/>
        <v>#VALUE!</v>
      </c>
      <c r="I26" s="333"/>
      <c r="J26" s="359">
        <f t="shared" si="6"/>
        <v>41698</v>
      </c>
      <c r="K26" s="334">
        <f t="shared" si="7"/>
        <v>14</v>
      </c>
      <c r="L26" s="335">
        <f t="shared" si="8"/>
        <v>227.1751863850151</v>
      </c>
      <c r="M26" s="335"/>
      <c r="N26" s="335">
        <f t="shared" si="9"/>
        <v>206.18688809333855</v>
      </c>
      <c r="O26" s="335">
        <f t="shared" si="27"/>
        <v>20.988298291676557</v>
      </c>
      <c r="P26" s="360">
        <f t="shared" si="10"/>
        <v>24721.438272908952</v>
      </c>
      <c r="R26" s="359">
        <f t="shared" si="11"/>
        <v>41698</v>
      </c>
      <c r="S26" s="334">
        <f t="shared" si="12"/>
        <v>14</v>
      </c>
      <c r="T26" s="335">
        <f t="shared" si="13"/>
        <v>227.1751863850151</v>
      </c>
      <c r="U26" s="335"/>
      <c r="V26" s="335">
        <f t="shared" si="14"/>
        <v>206.18688809333855</v>
      </c>
      <c r="W26" s="335">
        <f t="shared" si="28"/>
        <v>20.988298291676557</v>
      </c>
      <c r="X26" s="360">
        <f t="shared" si="15"/>
        <v>24721.438272908952</v>
      </c>
      <c r="Z26" s="359">
        <f t="shared" si="16"/>
        <v>41698</v>
      </c>
      <c r="AA26" s="334">
        <f t="shared" si="17"/>
        <v>14</v>
      </c>
      <c r="AB26" s="335">
        <f t="shared" si="18"/>
        <v>227.1751863850151</v>
      </c>
      <c r="AC26" s="335"/>
      <c r="AD26" s="335">
        <f t="shared" si="19"/>
        <v>206.18688809333855</v>
      </c>
      <c r="AE26" s="335">
        <f t="shared" si="29"/>
        <v>20.988298291676557</v>
      </c>
      <c r="AF26" s="360">
        <f t="shared" si="20"/>
        <v>24721.438272908952</v>
      </c>
      <c r="AH26" s="359">
        <f t="shared" si="21"/>
        <v>41698</v>
      </c>
      <c r="AI26" s="334">
        <f t="shared" si="22"/>
        <v>14</v>
      </c>
      <c r="AJ26" s="335">
        <f t="shared" si="23"/>
        <v>227.1751863850151</v>
      </c>
      <c r="AK26" s="335"/>
      <c r="AL26" s="335">
        <f t="shared" si="24"/>
        <v>206.18688809333855</v>
      </c>
      <c r="AM26" s="335">
        <f t="shared" si="30"/>
        <v>20.988298291676557</v>
      </c>
      <c r="AN26" s="360">
        <f t="shared" si="25"/>
        <v>24721.438272908952</v>
      </c>
    </row>
    <row r="27" spans="1:40" ht="12.75">
      <c r="A27" s="359">
        <f t="shared" si="0"/>
        <v>41729</v>
      </c>
      <c r="B27" s="334">
        <f t="shared" si="1"/>
        <v>15</v>
      </c>
      <c r="C27" s="335">
        <f t="shared" si="2"/>
        <v>227.1751863850151</v>
      </c>
      <c r="D27" s="335"/>
      <c r="E27" s="335">
        <f t="shared" si="3"/>
        <v>206.0119856075746</v>
      </c>
      <c r="F27" s="335">
        <f t="shared" si="26"/>
        <v>21.163200777440522</v>
      </c>
      <c r="G27" s="360">
        <f t="shared" si="4"/>
        <v>24700.275072131513</v>
      </c>
      <c r="H27" s="332" t="e">
        <f t="shared" si="5"/>
        <v>#VALUE!</v>
      </c>
      <c r="I27" s="333"/>
      <c r="J27" s="359">
        <f t="shared" si="6"/>
        <v>41729</v>
      </c>
      <c r="K27" s="334">
        <f t="shared" si="7"/>
        <v>15</v>
      </c>
      <c r="L27" s="335">
        <f t="shared" si="8"/>
        <v>227.1751863850151</v>
      </c>
      <c r="M27" s="335"/>
      <c r="N27" s="335">
        <f t="shared" si="9"/>
        <v>206.0119856075746</v>
      </c>
      <c r="O27" s="335">
        <f t="shared" si="27"/>
        <v>21.163200777440522</v>
      </c>
      <c r="P27" s="360">
        <f t="shared" si="10"/>
        <v>24700.275072131513</v>
      </c>
      <c r="R27" s="359">
        <f t="shared" si="11"/>
        <v>41729</v>
      </c>
      <c r="S27" s="334">
        <f t="shared" si="12"/>
        <v>15</v>
      </c>
      <c r="T27" s="335">
        <f t="shared" si="13"/>
        <v>227.1751863850151</v>
      </c>
      <c r="U27" s="335"/>
      <c r="V27" s="335">
        <f t="shared" si="14"/>
        <v>206.0119856075746</v>
      </c>
      <c r="W27" s="335">
        <f t="shared" si="28"/>
        <v>21.163200777440522</v>
      </c>
      <c r="X27" s="360">
        <f t="shared" si="15"/>
        <v>24700.275072131513</v>
      </c>
      <c r="Z27" s="359">
        <f t="shared" si="16"/>
        <v>41729</v>
      </c>
      <c r="AA27" s="334">
        <f t="shared" si="17"/>
        <v>15</v>
      </c>
      <c r="AB27" s="335">
        <f t="shared" si="18"/>
        <v>227.1751863850151</v>
      </c>
      <c r="AC27" s="335"/>
      <c r="AD27" s="335">
        <f t="shared" si="19"/>
        <v>206.0119856075746</v>
      </c>
      <c r="AE27" s="335">
        <f t="shared" si="29"/>
        <v>21.163200777440522</v>
      </c>
      <c r="AF27" s="360">
        <f t="shared" si="20"/>
        <v>24700.275072131513</v>
      </c>
      <c r="AH27" s="359">
        <f t="shared" si="21"/>
        <v>41729</v>
      </c>
      <c r="AI27" s="334">
        <f t="shared" si="22"/>
        <v>15</v>
      </c>
      <c r="AJ27" s="335">
        <f t="shared" si="23"/>
        <v>227.1751863850151</v>
      </c>
      <c r="AK27" s="335"/>
      <c r="AL27" s="335">
        <f t="shared" si="24"/>
        <v>206.0119856075746</v>
      </c>
      <c r="AM27" s="335">
        <f t="shared" si="30"/>
        <v>21.163200777440522</v>
      </c>
      <c r="AN27" s="360">
        <f t="shared" si="25"/>
        <v>24700.275072131513</v>
      </c>
    </row>
    <row r="28" spans="1:40" ht="12.75">
      <c r="A28" s="359">
        <f t="shared" si="0"/>
        <v>41759</v>
      </c>
      <c r="B28" s="334">
        <f t="shared" si="1"/>
        <v>16</v>
      </c>
      <c r="C28" s="335">
        <f t="shared" si="2"/>
        <v>227.1751863850151</v>
      </c>
      <c r="D28" s="335"/>
      <c r="E28" s="335">
        <f t="shared" si="3"/>
        <v>205.83562560109593</v>
      </c>
      <c r="F28" s="335">
        <f t="shared" si="26"/>
        <v>21.339560783919183</v>
      </c>
      <c r="G28" s="360">
        <f t="shared" si="4"/>
        <v>24678.935511347594</v>
      </c>
      <c r="H28" s="332" t="e">
        <f t="shared" si="5"/>
        <v>#VALUE!</v>
      </c>
      <c r="I28" s="333"/>
      <c r="J28" s="359">
        <f t="shared" si="6"/>
        <v>41759</v>
      </c>
      <c r="K28" s="334">
        <f t="shared" si="7"/>
        <v>16</v>
      </c>
      <c r="L28" s="335">
        <f t="shared" si="8"/>
        <v>227.1751863850151</v>
      </c>
      <c r="M28" s="335"/>
      <c r="N28" s="335">
        <f t="shared" si="9"/>
        <v>205.83562560109593</v>
      </c>
      <c r="O28" s="335">
        <f t="shared" si="27"/>
        <v>21.339560783919183</v>
      </c>
      <c r="P28" s="360">
        <f t="shared" si="10"/>
        <v>24678.935511347594</v>
      </c>
      <c r="R28" s="359">
        <f t="shared" si="11"/>
        <v>41759</v>
      </c>
      <c r="S28" s="334">
        <f t="shared" si="12"/>
        <v>16</v>
      </c>
      <c r="T28" s="335">
        <f t="shared" si="13"/>
        <v>227.1751863850151</v>
      </c>
      <c r="U28" s="335"/>
      <c r="V28" s="335">
        <f t="shared" si="14"/>
        <v>205.83562560109593</v>
      </c>
      <c r="W28" s="335">
        <f t="shared" si="28"/>
        <v>21.339560783919183</v>
      </c>
      <c r="X28" s="360">
        <f t="shared" si="15"/>
        <v>24678.935511347594</v>
      </c>
      <c r="Z28" s="359">
        <f t="shared" si="16"/>
        <v>41759</v>
      </c>
      <c r="AA28" s="334">
        <f t="shared" si="17"/>
        <v>16</v>
      </c>
      <c r="AB28" s="335">
        <f t="shared" si="18"/>
        <v>227.1751863850151</v>
      </c>
      <c r="AC28" s="335"/>
      <c r="AD28" s="335">
        <f t="shared" si="19"/>
        <v>205.83562560109593</v>
      </c>
      <c r="AE28" s="335">
        <f t="shared" si="29"/>
        <v>21.339560783919183</v>
      </c>
      <c r="AF28" s="360">
        <f t="shared" si="20"/>
        <v>24678.935511347594</v>
      </c>
      <c r="AH28" s="359">
        <f t="shared" si="21"/>
        <v>41759</v>
      </c>
      <c r="AI28" s="334">
        <f t="shared" si="22"/>
        <v>16</v>
      </c>
      <c r="AJ28" s="335">
        <f t="shared" si="23"/>
        <v>227.1751863850151</v>
      </c>
      <c r="AK28" s="335"/>
      <c r="AL28" s="335">
        <f t="shared" si="24"/>
        <v>205.83562560109593</v>
      </c>
      <c r="AM28" s="335">
        <f t="shared" si="30"/>
        <v>21.339560783919183</v>
      </c>
      <c r="AN28" s="360">
        <f t="shared" si="25"/>
        <v>24678.935511347594</v>
      </c>
    </row>
    <row r="29" spans="1:40" ht="12.75">
      <c r="A29" s="359">
        <f t="shared" si="0"/>
        <v>41790</v>
      </c>
      <c r="B29" s="334">
        <f t="shared" si="1"/>
        <v>17</v>
      </c>
      <c r="C29" s="335">
        <f t="shared" si="2"/>
        <v>227.1751863850151</v>
      </c>
      <c r="D29" s="335"/>
      <c r="E29" s="335">
        <f t="shared" si="3"/>
        <v>205.65779592789661</v>
      </c>
      <c r="F29" s="335">
        <f t="shared" si="26"/>
        <v>21.517390457118495</v>
      </c>
      <c r="G29" s="360">
        <f t="shared" si="4"/>
        <v>24657.418120890474</v>
      </c>
      <c r="H29" s="332" t="e">
        <f t="shared" si="5"/>
        <v>#VALUE!</v>
      </c>
      <c r="I29" s="333"/>
      <c r="J29" s="359">
        <f t="shared" si="6"/>
        <v>41790</v>
      </c>
      <c r="K29" s="334">
        <f t="shared" si="7"/>
        <v>17</v>
      </c>
      <c r="L29" s="335">
        <f t="shared" si="8"/>
        <v>227.1751863850151</v>
      </c>
      <c r="M29" s="335"/>
      <c r="N29" s="335">
        <f t="shared" si="9"/>
        <v>205.65779592789661</v>
      </c>
      <c r="O29" s="335">
        <f t="shared" si="27"/>
        <v>21.517390457118495</v>
      </c>
      <c r="P29" s="360">
        <f t="shared" si="10"/>
        <v>24657.418120890474</v>
      </c>
      <c r="R29" s="359">
        <f t="shared" si="11"/>
        <v>41790</v>
      </c>
      <c r="S29" s="334">
        <f t="shared" si="12"/>
        <v>17</v>
      </c>
      <c r="T29" s="335">
        <f t="shared" si="13"/>
        <v>227.1751863850151</v>
      </c>
      <c r="U29" s="335"/>
      <c r="V29" s="335">
        <f t="shared" si="14"/>
        <v>205.65779592789661</v>
      </c>
      <c r="W29" s="335">
        <f t="shared" si="28"/>
        <v>21.517390457118495</v>
      </c>
      <c r="X29" s="360">
        <f t="shared" si="15"/>
        <v>24657.418120890474</v>
      </c>
      <c r="Z29" s="359">
        <f t="shared" si="16"/>
        <v>41790</v>
      </c>
      <c r="AA29" s="334">
        <f t="shared" si="17"/>
        <v>17</v>
      </c>
      <c r="AB29" s="335">
        <f t="shared" si="18"/>
        <v>227.1751863850151</v>
      </c>
      <c r="AC29" s="335"/>
      <c r="AD29" s="335">
        <f t="shared" si="19"/>
        <v>205.65779592789661</v>
      </c>
      <c r="AE29" s="335">
        <f t="shared" si="29"/>
        <v>21.517390457118495</v>
      </c>
      <c r="AF29" s="360">
        <f t="shared" si="20"/>
        <v>24657.418120890474</v>
      </c>
      <c r="AH29" s="359">
        <f t="shared" si="21"/>
        <v>41790</v>
      </c>
      <c r="AI29" s="334">
        <f t="shared" si="22"/>
        <v>17</v>
      </c>
      <c r="AJ29" s="335">
        <f t="shared" si="23"/>
        <v>227.1751863850151</v>
      </c>
      <c r="AK29" s="335"/>
      <c r="AL29" s="335">
        <f t="shared" si="24"/>
        <v>205.65779592789661</v>
      </c>
      <c r="AM29" s="335">
        <f t="shared" si="30"/>
        <v>21.517390457118495</v>
      </c>
      <c r="AN29" s="360">
        <f t="shared" si="25"/>
        <v>24657.418120890474</v>
      </c>
    </row>
    <row r="30" spans="1:40" ht="12.75">
      <c r="A30" s="359">
        <f t="shared" si="0"/>
        <v>41820</v>
      </c>
      <c r="B30" s="334">
        <f t="shared" si="1"/>
        <v>18</v>
      </c>
      <c r="C30" s="335">
        <f t="shared" si="2"/>
        <v>227.1751863850151</v>
      </c>
      <c r="D30" s="335"/>
      <c r="E30" s="335">
        <f t="shared" si="3"/>
        <v>205.47848434075394</v>
      </c>
      <c r="F30" s="335">
        <f t="shared" si="26"/>
        <v>21.696702044261173</v>
      </c>
      <c r="G30" s="360">
        <f t="shared" si="4"/>
        <v>24635.721418846213</v>
      </c>
      <c r="H30" s="332" t="e">
        <f t="shared" si="5"/>
        <v>#VALUE!</v>
      </c>
      <c r="I30" s="333"/>
      <c r="J30" s="359">
        <f t="shared" si="6"/>
        <v>41820</v>
      </c>
      <c r="K30" s="334">
        <f t="shared" si="7"/>
        <v>18</v>
      </c>
      <c r="L30" s="335">
        <f t="shared" si="8"/>
        <v>227.1751863850151</v>
      </c>
      <c r="M30" s="335"/>
      <c r="N30" s="335">
        <f t="shared" si="9"/>
        <v>205.47848434075394</v>
      </c>
      <c r="O30" s="335">
        <f t="shared" si="27"/>
        <v>21.696702044261173</v>
      </c>
      <c r="P30" s="360">
        <f t="shared" si="10"/>
        <v>24635.721418846213</v>
      </c>
      <c r="R30" s="359">
        <f t="shared" si="11"/>
        <v>41820</v>
      </c>
      <c r="S30" s="334">
        <f t="shared" si="12"/>
        <v>18</v>
      </c>
      <c r="T30" s="335">
        <f t="shared" si="13"/>
        <v>227.1751863850151</v>
      </c>
      <c r="U30" s="335"/>
      <c r="V30" s="335">
        <f t="shared" si="14"/>
        <v>205.47848434075394</v>
      </c>
      <c r="W30" s="335">
        <f t="shared" si="28"/>
        <v>21.696702044261173</v>
      </c>
      <c r="X30" s="360">
        <f t="shared" si="15"/>
        <v>24635.721418846213</v>
      </c>
      <c r="Z30" s="359">
        <f t="shared" si="16"/>
        <v>41820</v>
      </c>
      <c r="AA30" s="334">
        <f t="shared" si="17"/>
        <v>18</v>
      </c>
      <c r="AB30" s="335">
        <f t="shared" si="18"/>
        <v>227.1751863850151</v>
      </c>
      <c r="AC30" s="335"/>
      <c r="AD30" s="335">
        <f t="shared" si="19"/>
        <v>205.47848434075394</v>
      </c>
      <c r="AE30" s="335">
        <f t="shared" si="29"/>
        <v>21.696702044261173</v>
      </c>
      <c r="AF30" s="360">
        <f t="shared" si="20"/>
        <v>24635.721418846213</v>
      </c>
      <c r="AH30" s="359">
        <f t="shared" si="21"/>
        <v>41820</v>
      </c>
      <c r="AI30" s="334">
        <f t="shared" si="22"/>
        <v>18</v>
      </c>
      <c r="AJ30" s="335">
        <f t="shared" si="23"/>
        <v>227.1751863850151</v>
      </c>
      <c r="AK30" s="335"/>
      <c r="AL30" s="335">
        <f t="shared" si="24"/>
        <v>205.47848434075394</v>
      </c>
      <c r="AM30" s="335">
        <f t="shared" si="30"/>
        <v>21.696702044261173</v>
      </c>
      <c r="AN30" s="360">
        <f t="shared" si="25"/>
        <v>24635.721418846213</v>
      </c>
    </row>
    <row r="31" spans="1:40" ht="12.75">
      <c r="A31" s="359">
        <f t="shared" si="0"/>
        <v>41851</v>
      </c>
      <c r="B31" s="334">
        <f t="shared" si="1"/>
        <v>19</v>
      </c>
      <c r="C31" s="335">
        <f t="shared" si="2"/>
        <v>227.1751863850151</v>
      </c>
      <c r="D31" s="335"/>
      <c r="E31" s="335">
        <f t="shared" si="3"/>
        <v>205.2976784903851</v>
      </c>
      <c r="F31" s="335">
        <f t="shared" si="26"/>
        <v>21.877507894630014</v>
      </c>
      <c r="G31" s="360">
        <f t="shared" si="4"/>
        <v>24613.843910951582</v>
      </c>
      <c r="H31" s="332" t="e">
        <f t="shared" si="5"/>
        <v>#VALUE!</v>
      </c>
      <c r="I31" s="333"/>
      <c r="J31" s="359">
        <f t="shared" si="6"/>
        <v>41851</v>
      </c>
      <c r="K31" s="334">
        <f t="shared" si="7"/>
        <v>19</v>
      </c>
      <c r="L31" s="335">
        <f t="shared" si="8"/>
        <v>227.1751863850151</v>
      </c>
      <c r="M31" s="335"/>
      <c r="N31" s="335">
        <f t="shared" si="9"/>
        <v>205.2976784903851</v>
      </c>
      <c r="O31" s="335">
        <f t="shared" si="27"/>
        <v>21.877507894630014</v>
      </c>
      <c r="P31" s="360">
        <f t="shared" si="10"/>
        <v>24613.843910951582</v>
      </c>
      <c r="R31" s="359">
        <f t="shared" si="11"/>
        <v>41851</v>
      </c>
      <c r="S31" s="334">
        <f t="shared" si="12"/>
        <v>19</v>
      </c>
      <c r="T31" s="335">
        <f t="shared" si="13"/>
        <v>227.1751863850151</v>
      </c>
      <c r="U31" s="335"/>
      <c r="V31" s="335">
        <f t="shared" si="14"/>
        <v>205.2976784903851</v>
      </c>
      <c r="W31" s="335">
        <f t="shared" si="28"/>
        <v>21.877507894630014</v>
      </c>
      <c r="X31" s="360">
        <f t="shared" si="15"/>
        <v>24613.843910951582</v>
      </c>
      <c r="Z31" s="359">
        <f t="shared" si="16"/>
        <v>41851</v>
      </c>
      <c r="AA31" s="334">
        <f t="shared" si="17"/>
        <v>19</v>
      </c>
      <c r="AB31" s="335">
        <f t="shared" si="18"/>
        <v>227.1751863850151</v>
      </c>
      <c r="AC31" s="335"/>
      <c r="AD31" s="335">
        <f t="shared" si="19"/>
        <v>205.2976784903851</v>
      </c>
      <c r="AE31" s="335">
        <f t="shared" si="29"/>
        <v>21.877507894630014</v>
      </c>
      <c r="AF31" s="360">
        <f t="shared" si="20"/>
        <v>24613.843910951582</v>
      </c>
      <c r="AH31" s="359">
        <f t="shared" si="21"/>
        <v>41851</v>
      </c>
      <c r="AI31" s="334">
        <f t="shared" si="22"/>
        <v>19</v>
      </c>
      <c r="AJ31" s="335">
        <f t="shared" si="23"/>
        <v>227.1751863850151</v>
      </c>
      <c r="AK31" s="335"/>
      <c r="AL31" s="335">
        <f t="shared" si="24"/>
        <v>205.2976784903851</v>
      </c>
      <c r="AM31" s="335">
        <f t="shared" si="30"/>
        <v>21.877507894630014</v>
      </c>
      <c r="AN31" s="360">
        <f t="shared" si="25"/>
        <v>24613.843910951582</v>
      </c>
    </row>
    <row r="32" spans="1:40" ht="12.75">
      <c r="A32" s="359">
        <f t="shared" si="0"/>
        <v>41882</v>
      </c>
      <c r="B32" s="334">
        <f t="shared" si="1"/>
        <v>20</v>
      </c>
      <c r="C32" s="335">
        <f t="shared" si="2"/>
        <v>227.1751863850151</v>
      </c>
      <c r="D32" s="335"/>
      <c r="E32" s="335">
        <f t="shared" si="3"/>
        <v>205.11536592459652</v>
      </c>
      <c r="F32" s="335">
        <f t="shared" si="26"/>
        <v>22.059820460418592</v>
      </c>
      <c r="G32" s="360">
        <f t="shared" si="4"/>
        <v>24591.784090491165</v>
      </c>
      <c r="H32" s="332" t="e">
        <f t="shared" si="5"/>
        <v>#VALUE!</v>
      </c>
      <c r="I32" s="333"/>
      <c r="J32" s="359">
        <f t="shared" si="6"/>
        <v>41882</v>
      </c>
      <c r="K32" s="334">
        <f t="shared" si="7"/>
        <v>20</v>
      </c>
      <c r="L32" s="335">
        <f t="shared" si="8"/>
        <v>227.1751863850151</v>
      </c>
      <c r="M32" s="335"/>
      <c r="N32" s="335">
        <f t="shared" si="9"/>
        <v>205.11536592459652</v>
      </c>
      <c r="O32" s="335">
        <f t="shared" si="27"/>
        <v>22.059820460418592</v>
      </c>
      <c r="P32" s="360">
        <f t="shared" si="10"/>
        <v>24591.784090491165</v>
      </c>
      <c r="R32" s="359">
        <f t="shared" si="11"/>
        <v>41882</v>
      </c>
      <c r="S32" s="334">
        <f t="shared" si="12"/>
        <v>20</v>
      </c>
      <c r="T32" s="335">
        <f t="shared" si="13"/>
        <v>227.1751863850151</v>
      </c>
      <c r="U32" s="335"/>
      <c r="V32" s="335">
        <f t="shared" si="14"/>
        <v>205.11536592459652</v>
      </c>
      <c r="W32" s="335">
        <f t="shared" si="28"/>
        <v>22.059820460418592</v>
      </c>
      <c r="X32" s="360">
        <f t="shared" si="15"/>
        <v>24591.784090491165</v>
      </c>
      <c r="Z32" s="359">
        <f t="shared" si="16"/>
        <v>41882</v>
      </c>
      <c r="AA32" s="334">
        <f t="shared" si="17"/>
        <v>20</v>
      </c>
      <c r="AB32" s="335">
        <f t="shared" si="18"/>
        <v>227.1751863850151</v>
      </c>
      <c r="AC32" s="335"/>
      <c r="AD32" s="335">
        <f t="shared" si="19"/>
        <v>205.11536592459652</v>
      </c>
      <c r="AE32" s="335">
        <f t="shared" si="29"/>
        <v>22.059820460418592</v>
      </c>
      <c r="AF32" s="360">
        <f t="shared" si="20"/>
        <v>24591.784090491165</v>
      </c>
      <c r="AH32" s="359">
        <f t="shared" si="21"/>
        <v>41882</v>
      </c>
      <c r="AI32" s="334">
        <f t="shared" si="22"/>
        <v>20</v>
      </c>
      <c r="AJ32" s="335">
        <f t="shared" si="23"/>
        <v>227.1751863850151</v>
      </c>
      <c r="AK32" s="335"/>
      <c r="AL32" s="335">
        <f t="shared" si="24"/>
        <v>205.11536592459652</v>
      </c>
      <c r="AM32" s="335">
        <f t="shared" si="30"/>
        <v>22.059820460418592</v>
      </c>
      <c r="AN32" s="360">
        <f t="shared" si="25"/>
        <v>24591.784090491165</v>
      </c>
    </row>
    <row r="33" spans="1:40" ht="12.75">
      <c r="A33" s="359">
        <f t="shared" si="0"/>
        <v>41912</v>
      </c>
      <c r="B33" s="334">
        <f t="shared" si="1"/>
        <v>21</v>
      </c>
      <c r="C33" s="335">
        <f t="shared" si="2"/>
        <v>227.1751863850151</v>
      </c>
      <c r="D33" s="335"/>
      <c r="E33" s="335">
        <f t="shared" si="3"/>
        <v>204.93153408742637</v>
      </c>
      <c r="F33" s="335">
        <f t="shared" si="26"/>
        <v>22.24365229758874</v>
      </c>
      <c r="G33" s="360">
        <f t="shared" si="4"/>
        <v>24569.540438193577</v>
      </c>
      <c r="H33" s="332" t="e">
        <f t="shared" si="5"/>
        <v>#VALUE!</v>
      </c>
      <c r="I33" s="333"/>
      <c r="J33" s="359">
        <f t="shared" si="6"/>
        <v>41912</v>
      </c>
      <c r="K33" s="334">
        <f t="shared" si="7"/>
        <v>21</v>
      </c>
      <c r="L33" s="335">
        <f t="shared" si="8"/>
        <v>227.1751863850151</v>
      </c>
      <c r="M33" s="335"/>
      <c r="N33" s="335">
        <f t="shared" si="9"/>
        <v>204.93153408742637</v>
      </c>
      <c r="O33" s="335">
        <f t="shared" si="27"/>
        <v>22.24365229758874</v>
      </c>
      <c r="P33" s="360">
        <f t="shared" si="10"/>
        <v>24569.540438193577</v>
      </c>
      <c r="R33" s="359">
        <f t="shared" si="11"/>
        <v>41912</v>
      </c>
      <c r="S33" s="334">
        <f t="shared" si="12"/>
        <v>21</v>
      </c>
      <c r="T33" s="335">
        <f t="shared" si="13"/>
        <v>227.1751863850151</v>
      </c>
      <c r="U33" s="335"/>
      <c r="V33" s="335">
        <f t="shared" si="14"/>
        <v>204.93153408742637</v>
      </c>
      <c r="W33" s="335">
        <f t="shared" si="28"/>
        <v>22.24365229758874</v>
      </c>
      <c r="X33" s="360">
        <f t="shared" si="15"/>
        <v>24569.540438193577</v>
      </c>
      <c r="Z33" s="359">
        <f t="shared" si="16"/>
        <v>41912</v>
      </c>
      <c r="AA33" s="334">
        <f t="shared" si="17"/>
        <v>21</v>
      </c>
      <c r="AB33" s="335">
        <f t="shared" si="18"/>
        <v>227.1751863850151</v>
      </c>
      <c r="AC33" s="335"/>
      <c r="AD33" s="335">
        <f t="shared" si="19"/>
        <v>204.93153408742637</v>
      </c>
      <c r="AE33" s="335">
        <f t="shared" si="29"/>
        <v>22.24365229758874</v>
      </c>
      <c r="AF33" s="360">
        <f t="shared" si="20"/>
        <v>24569.540438193577</v>
      </c>
      <c r="AH33" s="359">
        <f t="shared" si="21"/>
        <v>41912</v>
      </c>
      <c r="AI33" s="334">
        <f t="shared" si="22"/>
        <v>21</v>
      </c>
      <c r="AJ33" s="335">
        <f t="shared" si="23"/>
        <v>227.1751863850151</v>
      </c>
      <c r="AK33" s="335"/>
      <c r="AL33" s="335">
        <f t="shared" si="24"/>
        <v>204.93153408742637</v>
      </c>
      <c r="AM33" s="335">
        <f t="shared" si="30"/>
        <v>22.24365229758874</v>
      </c>
      <c r="AN33" s="360">
        <f t="shared" si="25"/>
        <v>24569.540438193577</v>
      </c>
    </row>
    <row r="34" spans="1:40" ht="12.75">
      <c r="A34" s="359">
        <f t="shared" si="0"/>
        <v>41943</v>
      </c>
      <c r="B34" s="334">
        <f t="shared" si="1"/>
        <v>22</v>
      </c>
      <c r="C34" s="335">
        <f t="shared" si="2"/>
        <v>227.1751863850151</v>
      </c>
      <c r="D34" s="335"/>
      <c r="E34" s="335">
        <f t="shared" si="3"/>
        <v>204.7461703182798</v>
      </c>
      <c r="F34" s="335">
        <f t="shared" si="26"/>
        <v>22.4290160667353</v>
      </c>
      <c r="G34" s="360">
        <f t="shared" si="4"/>
        <v>24547.11142212684</v>
      </c>
      <c r="H34" s="332" t="e">
        <f t="shared" si="5"/>
        <v>#VALUE!</v>
      </c>
      <c r="I34" s="333"/>
      <c r="J34" s="359">
        <f t="shared" si="6"/>
        <v>41943</v>
      </c>
      <c r="K34" s="334">
        <f t="shared" si="7"/>
        <v>22</v>
      </c>
      <c r="L34" s="335">
        <f t="shared" si="8"/>
        <v>227.1751863850151</v>
      </c>
      <c r="M34" s="335"/>
      <c r="N34" s="335">
        <f t="shared" si="9"/>
        <v>204.7461703182798</v>
      </c>
      <c r="O34" s="335">
        <f t="shared" si="27"/>
        <v>22.4290160667353</v>
      </c>
      <c r="P34" s="360">
        <f t="shared" si="10"/>
        <v>24547.11142212684</v>
      </c>
      <c r="R34" s="359">
        <f t="shared" si="11"/>
        <v>41943</v>
      </c>
      <c r="S34" s="334">
        <f t="shared" si="12"/>
        <v>22</v>
      </c>
      <c r="T34" s="335">
        <f t="shared" si="13"/>
        <v>227.1751863850151</v>
      </c>
      <c r="U34" s="335"/>
      <c r="V34" s="335">
        <f t="shared" si="14"/>
        <v>204.7461703182798</v>
      </c>
      <c r="W34" s="335">
        <f t="shared" si="28"/>
        <v>22.4290160667353</v>
      </c>
      <c r="X34" s="360">
        <f t="shared" si="15"/>
        <v>24547.11142212684</v>
      </c>
      <c r="Z34" s="359">
        <f t="shared" si="16"/>
        <v>41943</v>
      </c>
      <c r="AA34" s="334">
        <f t="shared" si="17"/>
        <v>22</v>
      </c>
      <c r="AB34" s="335">
        <f t="shared" si="18"/>
        <v>227.1751863850151</v>
      </c>
      <c r="AC34" s="335"/>
      <c r="AD34" s="335">
        <f t="shared" si="19"/>
        <v>204.7461703182798</v>
      </c>
      <c r="AE34" s="335">
        <f t="shared" si="29"/>
        <v>22.4290160667353</v>
      </c>
      <c r="AF34" s="360">
        <f t="shared" si="20"/>
        <v>24547.11142212684</v>
      </c>
      <c r="AH34" s="359">
        <f t="shared" si="21"/>
        <v>41943</v>
      </c>
      <c r="AI34" s="334">
        <f t="shared" si="22"/>
        <v>22</v>
      </c>
      <c r="AJ34" s="335">
        <f t="shared" si="23"/>
        <v>227.1751863850151</v>
      </c>
      <c r="AK34" s="335"/>
      <c r="AL34" s="335">
        <f t="shared" si="24"/>
        <v>204.7461703182798</v>
      </c>
      <c r="AM34" s="335">
        <f t="shared" si="30"/>
        <v>22.4290160667353</v>
      </c>
      <c r="AN34" s="360">
        <f t="shared" si="25"/>
        <v>24547.11142212684</v>
      </c>
    </row>
    <row r="35" spans="1:40" ht="12.75">
      <c r="A35" s="359">
        <f t="shared" si="0"/>
        <v>41973</v>
      </c>
      <c r="B35" s="334">
        <f t="shared" si="1"/>
        <v>23</v>
      </c>
      <c r="C35" s="335">
        <f t="shared" si="2"/>
        <v>227.1751863850151</v>
      </c>
      <c r="D35" s="335"/>
      <c r="E35" s="335">
        <f t="shared" si="3"/>
        <v>204.559261851057</v>
      </c>
      <c r="F35" s="335">
        <f t="shared" si="26"/>
        <v>22.615924533958122</v>
      </c>
      <c r="G35" s="360">
        <f t="shared" si="4"/>
        <v>24524.49549759288</v>
      </c>
      <c r="H35" s="332" t="e">
        <f t="shared" si="5"/>
        <v>#VALUE!</v>
      </c>
      <c r="I35" s="333"/>
      <c r="J35" s="359">
        <f t="shared" si="6"/>
        <v>41973</v>
      </c>
      <c r="K35" s="334">
        <f t="shared" si="7"/>
        <v>23</v>
      </c>
      <c r="L35" s="335">
        <f t="shared" si="8"/>
        <v>227.1751863850151</v>
      </c>
      <c r="M35" s="335"/>
      <c r="N35" s="335">
        <f t="shared" si="9"/>
        <v>204.559261851057</v>
      </c>
      <c r="O35" s="335">
        <f t="shared" si="27"/>
        <v>22.615924533958122</v>
      </c>
      <c r="P35" s="360">
        <f t="shared" si="10"/>
        <v>24524.49549759288</v>
      </c>
      <c r="R35" s="359">
        <f t="shared" si="11"/>
        <v>41973</v>
      </c>
      <c r="S35" s="334">
        <f t="shared" si="12"/>
        <v>23</v>
      </c>
      <c r="T35" s="335">
        <f t="shared" si="13"/>
        <v>227.1751863850151</v>
      </c>
      <c r="U35" s="335"/>
      <c r="V35" s="335">
        <f t="shared" si="14"/>
        <v>204.559261851057</v>
      </c>
      <c r="W35" s="335">
        <f t="shared" si="28"/>
        <v>22.615924533958122</v>
      </c>
      <c r="X35" s="360">
        <f t="shared" si="15"/>
        <v>24524.49549759288</v>
      </c>
      <c r="Z35" s="359">
        <f t="shared" si="16"/>
        <v>41973</v>
      </c>
      <c r="AA35" s="334">
        <f t="shared" si="17"/>
        <v>23</v>
      </c>
      <c r="AB35" s="335">
        <f t="shared" si="18"/>
        <v>227.1751863850151</v>
      </c>
      <c r="AC35" s="335"/>
      <c r="AD35" s="335">
        <f t="shared" si="19"/>
        <v>204.559261851057</v>
      </c>
      <c r="AE35" s="335">
        <f t="shared" si="29"/>
        <v>22.615924533958122</v>
      </c>
      <c r="AF35" s="360">
        <f t="shared" si="20"/>
        <v>24524.49549759288</v>
      </c>
      <c r="AH35" s="359">
        <f t="shared" si="21"/>
        <v>41973</v>
      </c>
      <c r="AI35" s="334">
        <f t="shared" si="22"/>
        <v>23</v>
      </c>
      <c r="AJ35" s="335">
        <f t="shared" si="23"/>
        <v>227.1751863850151</v>
      </c>
      <c r="AK35" s="335"/>
      <c r="AL35" s="335">
        <f t="shared" si="24"/>
        <v>204.559261851057</v>
      </c>
      <c r="AM35" s="335">
        <f t="shared" si="30"/>
        <v>22.615924533958122</v>
      </c>
      <c r="AN35" s="360">
        <f t="shared" si="25"/>
        <v>24524.49549759288</v>
      </c>
    </row>
    <row r="36" spans="1:40" ht="12.75">
      <c r="A36" s="359">
        <f t="shared" si="0"/>
        <v>42004</v>
      </c>
      <c r="B36" s="334">
        <f t="shared" si="1"/>
        <v>24</v>
      </c>
      <c r="C36" s="335">
        <f t="shared" si="2"/>
        <v>227.1751863850151</v>
      </c>
      <c r="D36" s="335"/>
      <c r="E36" s="335">
        <f t="shared" si="3"/>
        <v>204.37079581327401</v>
      </c>
      <c r="F36" s="335">
        <f t="shared" si="26"/>
        <v>22.804390571741095</v>
      </c>
      <c r="G36" s="360">
        <f t="shared" si="4"/>
        <v>24501.69110702114</v>
      </c>
      <c r="H36" s="332" t="e">
        <f t="shared" si="5"/>
        <v>#VALUE!</v>
      </c>
      <c r="I36" s="333"/>
      <c r="J36" s="359">
        <f t="shared" si="6"/>
        <v>42004</v>
      </c>
      <c r="K36" s="334">
        <f t="shared" si="7"/>
        <v>24</v>
      </c>
      <c r="L36" s="335">
        <f t="shared" si="8"/>
        <v>227.1751863850151</v>
      </c>
      <c r="M36" s="335"/>
      <c r="N36" s="335">
        <f t="shared" si="9"/>
        <v>204.37079581327401</v>
      </c>
      <c r="O36" s="335">
        <f t="shared" si="27"/>
        <v>22.804390571741095</v>
      </c>
      <c r="P36" s="360">
        <f t="shared" si="10"/>
        <v>24501.69110702114</v>
      </c>
      <c r="R36" s="359">
        <f t="shared" si="11"/>
        <v>42004</v>
      </c>
      <c r="S36" s="334">
        <f t="shared" si="12"/>
        <v>24</v>
      </c>
      <c r="T36" s="335">
        <f t="shared" si="13"/>
        <v>227.1751863850151</v>
      </c>
      <c r="U36" s="335"/>
      <c r="V36" s="335">
        <f t="shared" si="14"/>
        <v>204.37079581327401</v>
      </c>
      <c r="W36" s="335">
        <f t="shared" si="28"/>
        <v>22.804390571741095</v>
      </c>
      <c r="X36" s="360">
        <f t="shared" si="15"/>
        <v>24501.69110702114</v>
      </c>
      <c r="Z36" s="359">
        <f t="shared" si="16"/>
        <v>42004</v>
      </c>
      <c r="AA36" s="334">
        <f t="shared" si="17"/>
        <v>24</v>
      </c>
      <c r="AB36" s="335">
        <f t="shared" si="18"/>
        <v>227.1751863850151</v>
      </c>
      <c r="AC36" s="335"/>
      <c r="AD36" s="335">
        <f t="shared" si="19"/>
        <v>204.37079581327401</v>
      </c>
      <c r="AE36" s="335">
        <f t="shared" si="29"/>
        <v>22.804390571741095</v>
      </c>
      <c r="AF36" s="360">
        <f t="shared" si="20"/>
        <v>24501.69110702114</v>
      </c>
      <c r="AH36" s="359">
        <f t="shared" si="21"/>
        <v>42004</v>
      </c>
      <c r="AI36" s="334">
        <f t="shared" si="22"/>
        <v>24</v>
      </c>
      <c r="AJ36" s="335">
        <f t="shared" si="23"/>
        <v>227.1751863850151</v>
      </c>
      <c r="AK36" s="335"/>
      <c r="AL36" s="335">
        <f t="shared" si="24"/>
        <v>204.37079581327401</v>
      </c>
      <c r="AM36" s="335">
        <f t="shared" si="30"/>
        <v>22.804390571741095</v>
      </c>
      <c r="AN36" s="360">
        <f t="shared" si="25"/>
        <v>24501.69110702114</v>
      </c>
    </row>
    <row r="37" spans="1:40" ht="12.75">
      <c r="A37" s="359">
        <f t="shared" si="0"/>
        <v>42035</v>
      </c>
      <c r="B37" s="334">
        <f t="shared" si="1"/>
        <v>25</v>
      </c>
      <c r="C37" s="335">
        <f t="shared" si="2"/>
        <v>227.1751863850151</v>
      </c>
      <c r="D37" s="335"/>
      <c r="E37" s="335">
        <f t="shared" si="3"/>
        <v>204.18075922517616</v>
      </c>
      <c r="F37" s="335">
        <f t="shared" si="26"/>
        <v>22.99442715983895</v>
      </c>
      <c r="G37" s="360">
        <f t="shared" si="4"/>
        <v>24478.6966798613</v>
      </c>
      <c r="H37" s="332" t="e">
        <f t="shared" si="5"/>
        <v>#VALUE!</v>
      </c>
      <c r="I37" s="333"/>
      <c r="J37" s="359">
        <f t="shared" si="6"/>
        <v>42035</v>
      </c>
      <c r="K37" s="334">
        <f t="shared" si="7"/>
        <v>25</v>
      </c>
      <c r="L37" s="335">
        <f t="shared" si="8"/>
        <v>227.1751863850151</v>
      </c>
      <c r="M37" s="335"/>
      <c r="N37" s="335">
        <f t="shared" si="9"/>
        <v>204.18075922517616</v>
      </c>
      <c r="O37" s="335">
        <f t="shared" si="27"/>
        <v>22.99442715983895</v>
      </c>
      <c r="P37" s="360">
        <f t="shared" si="10"/>
        <v>24478.6966798613</v>
      </c>
      <c r="R37" s="359">
        <f t="shared" si="11"/>
        <v>42035</v>
      </c>
      <c r="S37" s="334">
        <f t="shared" si="12"/>
        <v>25</v>
      </c>
      <c r="T37" s="335">
        <f t="shared" si="13"/>
        <v>227.1751863850151</v>
      </c>
      <c r="U37" s="335"/>
      <c r="V37" s="335">
        <f t="shared" si="14"/>
        <v>204.18075922517616</v>
      </c>
      <c r="W37" s="335">
        <f t="shared" si="28"/>
        <v>22.99442715983895</v>
      </c>
      <c r="X37" s="360">
        <f t="shared" si="15"/>
        <v>24478.6966798613</v>
      </c>
      <c r="Z37" s="359">
        <f t="shared" si="16"/>
        <v>42035</v>
      </c>
      <c r="AA37" s="334">
        <f t="shared" si="17"/>
        <v>25</v>
      </c>
      <c r="AB37" s="335">
        <f t="shared" si="18"/>
        <v>227.1751863850151</v>
      </c>
      <c r="AC37" s="335"/>
      <c r="AD37" s="335">
        <f t="shared" si="19"/>
        <v>204.18075922517616</v>
      </c>
      <c r="AE37" s="335">
        <f t="shared" si="29"/>
        <v>22.99442715983895</v>
      </c>
      <c r="AF37" s="360">
        <f t="shared" si="20"/>
        <v>24478.6966798613</v>
      </c>
      <c r="AH37" s="359">
        <f t="shared" si="21"/>
        <v>42035</v>
      </c>
      <c r="AI37" s="334">
        <f t="shared" si="22"/>
        <v>25</v>
      </c>
      <c r="AJ37" s="335">
        <f t="shared" si="23"/>
        <v>227.1751863850151</v>
      </c>
      <c r="AK37" s="335"/>
      <c r="AL37" s="335">
        <f t="shared" si="24"/>
        <v>204.18075922517616</v>
      </c>
      <c r="AM37" s="335">
        <f t="shared" si="30"/>
        <v>22.99442715983895</v>
      </c>
      <c r="AN37" s="360">
        <f t="shared" si="25"/>
        <v>24478.6966798613</v>
      </c>
    </row>
    <row r="38" spans="1:40" ht="12.75">
      <c r="A38" s="359">
        <f t="shared" si="0"/>
        <v>42063</v>
      </c>
      <c r="B38" s="334">
        <f t="shared" si="1"/>
        <v>26</v>
      </c>
      <c r="C38" s="335">
        <f t="shared" si="2"/>
        <v>227.1751863850151</v>
      </c>
      <c r="D38" s="335"/>
      <c r="E38" s="335">
        <f t="shared" si="3"/>
        <v>203.98913899884417</v>
      </c>
      <c r="F38" s="335">
        <f t="shared" si="26"/>
        <v>23.18604738617094</v>
      </c>
      <c r="G38" s="360">
        <f t="shared" si="4"/>
        <v>24455.51063247513</v>
      </c>
      <c r="H38" s="332" t="e">
        <f t="shared" si="5"/>
        <v>#VALUE!</v>
      </c>
      <c r="I38" s="333"/>
      <c r="J38" s="359">
        <f t="shared" si="6"/>
        <v>42063</v>
      </c>
      <c r="K38" s="334">
        <f t="shared" si="7"/>
        <v>26</v>
      </c>
      <c r="L38" s="335">
        <f t="shared" si="8"/>
        <v>227.1751863850151</v>
      </c>
      <c r="M38" s="335"/>
      <c r="N38" s="335">
        <f t="shared" si="9"/>
        <v>203.98913899884417</v>
      </c>
      <c r="O38" s="335">
        <f t="shared" si="27"/>
        <v>23.18604738617094</v>
      </c>
      <c r="P38" s="360">
        <f t="shared" si="10"/>
        <v>24455.51063247513</v>
      </c>
      <c r="R38" s="359">
        <f t="shared" si="11"/>
        <v>42063</v>
      </c>
      <c r="S38" s="334">
        <f t="shared" si="12"/>
        <v>26</v>
      </c>
      <c r="T38" s="335">
        <f t="shared" si="13"/>
        <v>227.1751863850151</v>
      </c>
      <c r="U38" s="335"/>
      <c r="V38" s="335">
        <f t="shared" si="14"/>
        <v>203.98913899884417</v>
      </c>
      <c r="W38" s="335">
        <f t="shared" si="28"/>
        <v>23.18604738617094</v>
      </c>
      <c r="X38" s="360">
        <f t="shared" si="15"/>
        <v>24455.51063247513</v>
      </c>
      <c r="Z38" s="359">
        <f t="shared" si="16"/>
        <v>42063</v>
      </c>
      <c r="AA38" s="334">
        <f t="shared" si="17"/>
        <v>26</v>
      </c>
      <c r="AB38" s="335">
        <f t="shared" si="18"/>
        <v>227.1751863850151</v>
      </c>
      <c r="AC38" s="335"/>
      <c r="AD38" s="335">
        <f t="shared" si="19"/>
        <v>203.98913899884417</v>
      </c>
      <c r="AE38" s="335">
        <f t="shared" si="29"/>
        <v>23.18604738617094</v>
      </c>
      <c r="AF38" s="360">
        <f t="shared" si="20"/>
        <v>24455.51063247513</v>
      </c>
      <c r="AH38" s="359">
        <f t="shared" si="21"/>
        <v>42063</v>
      </c>
      <c r="AI38" s="334">
        <f t="shared" si="22"/>
        <v>26</v>
      </c>
      <c r="AJ38" s="335">
        <f t="shared" si="23"/>
        <v>227.1751863850151</v>
      </c>
      <c r="AK38" s="335"/>
      <c r="AL38" s="335">
        <f t="shared" si="24"/>
        <v>203.98913899884417</v>
      </c>
      <c r="AM38" s="335">
        <f t="shared" si="30"/>
        <v>23.18604738617094</v>
      </c>
      <c r="AN38" s="360">
        <f t="shared" si="25"/>
        <v>24455.51063247513</v>
      </c>
    </row>
    <row r="39" spans="1:40" ht="12.75">
      <c r="A39" s="359">
        <f t="shared" si="0"/>
        <v>42094</v>
      </c>
      <c r="B39" s="334">
        <f t="shared" si="1"/>
        <v>27</v>
      </c>
      <c r="C39" s="335">
        <f t="shared" si="2"/>
        <v>227.1751863850151</v>
      </c>
      <c r="D39" s="335"/>
      <c r="E39" s="335">
        <f t="shared" si="3"/>
        <v>203.79592193729275</v>
      </c>
      <c r="F39" s="335">
        <f t="shared" si="26"/>
        <v>23.379264447722363</v>
      </c>
      <c r="G39" s="360">
        <f t="shared" si="4"/>
        <v>24432.131368027407</v>
      </c>
      <c r="H39" s="332" t="e">
        <f t="shared" si="5"/>
        <v>#VALUE!</v>
      </c>
      <c r="I39" s="333"/>
      <c r="J39" s="359">
        <f t="shared" si="6"/>
        <v>42094</v>
      </c>
      <c r="K39" s="334">
        <f t="shared" si="7"/>
        <v>27</v>
      </c>
      <c r="L39" s="335">
        <f t="shared" si="8"/>
        <v>227.1751863850151</v>
      </c>
      <c r="M39" s="335"/>
      <c r="N39" s="335">
        <f t="shared" si="9"/>
        <v>203.79592193729275</v>
      </c>
      <c r="O39" s="335">
        <f t="shared" si="27"/>
        <v>23.379264447722363</v>
      </c>
      <c r="P39" s="360">
        <f t="shared" si="10"/>
        <v>24432.131368027407</v>
      </c>
      <c r="R39" s="359">
        <f t="shared" si="11"/>
        <v>42094</v>
      </c>
      <c r="S39" s="334">
        <f t="shared" si="12"/>
        <v>27</v>
      </c>
      <c r="T39" s="335">
        <f t="shared" si="13"/>
        <v>227.1751863850151</v>
      </c>
      <c r="U39" s="335"/>
      <c r="V39" s="335">
        <f t="shared" si="14"/>
        <v>203.79592193729275</v>
      </c>
      <c r="W39" s="335">
        <f t="shared" si="28"/>
        <v>23.379264447722363</v>
      </c>
      <c r="X39" s="360">
        <f t="shared" si="15"/>
        <v>24432.131368027407</v>
      </c>
      <c r="Z39" s="359">
        <f t="shared" si="16"/>
        <v>42094</v>
      </c>
      <c r="AA39" s="334">
        <f t="shared" si="17"/>
        <v>27</v>
      </c>
      <c r="AB39" s="335">
        <f t="shared" si="18"/>
        <v>227.1751863850151</v>
      </c>
      <c r="AC39" s="335"/>
      <c r="AD39" s="335">
        <f t="shared" si="19"/>
        <v>203.79592193729275</v>
      </c>
      <c r="AE39" s="335">
        <f t="shared" si="29"/>
        <v>23.379264447722363</v>
      </c>
      <c r="AF39" s="360">
        <f t="shared" si="20"/>
        <v>24432.131368027407</v>
      </c>
      <c r="AH39" s="359">
        <f t="shared" si="21"/>
        <v>42094</v>
      </c>
      <c r="AI39" s="334">
        <f t="shared" si="22"/>
        <v>27</v>
      </c>
      <c r="AJ39" s="335">
        <f t="shared" si="23"/>
        <v>227.1751863850151</v>
      </c>
      <c r="AK39" s="335"/>
      <c r="AL39" s="335">
        <f t="shared" si="24"/>
        <v>203.79592193729275</v>
      </c>
      <c r="AM39" s="335">
        <f t="shared" si="30"/>
        <v>23.379264447722363</v>
      </c>
      <c r="AN39" s="360">
        <f t="shared" si="25"/>
        <v>24432.131368027407</v>
      </c>
    </row>
    <row r="40" spans="1:40" ht="12.75">
      <c r="A40" s="359">
        <f t="shared" si="0"/>
        <v>42124</v>
      </c>
      <c r="B40" s="334">
        <f t="shared" si="1"/>
        <v>28</v>
      </c>
      <c r="C40" s="335">
        <f t="shared" si="2"/>
        <v>227.1751863850151</v>
      </c>
      <c r="D40" s="335"/>
      <c r="E40" s="335">
        <f t="shared" si="3"/>
        <v>203.60109473356172</v>
      </c>
      <c r="F40" s="335">
        <f t="shared" si="26"/>
        <v>23.574091651453386</v>
      </c>
      <c r="G40" s="360">
        <f t="shared" si="4"/>
        <v>24408.557276375952</v>
      </c>
      <c r="H40" s="332" t="e">
        <f t="shared" si="5"/>
        <v>#VALUE!</v>
      </c>
      <c r="I40" s="333"/>
      <c r="J40" s="359">
        <f t="shared" si="6"/>
        <v>42124</v>
      </c>
      <c r="K40" s="334">
        <f t="shared" si="7"/>
        <v>28</v>
      </c>
      <c r="L40" s="335">
        <f t="shared" si="8"/>
        <v>227.1751863850151</v>
      </c>
      <c r="M40" s="335"/>
      <c r="N40" s="335">
        <f t="shared" si="9"/>
        <v>203.60109473356172</v>
      </c>
      <c r="O40" s="335">
        <f t="shared" si="27"/>
        <v>23.574091651453386</v>
      </c>
      <c r="P40" s="360">
        <f t="shared" si="10"/>
        <v>24408.557276375952</v>
      </c>
      <c r="R40" s="359">
        <f t="shared" si="11"/>
        <v>42124</v>
      </c>
      <c r="S40" s="334">
        <f t="shared" si="12"/>
        <v>28</v>
      </c>
      <c r="T40" s="335">
        <f t="shared" si="13"/>
        <v>227.1751863850151</v>
      </c>
      <c r="U40" s="335"/>
      <c r="V40" s="335">
        <f t="shared" si="14"/>
        <v>203.60109473356172</v>
      </c>
      <c r="W40" s="335">
        <f t="shared" si="28"/>
        <v>23.574091651453386</v>
      </c>
      <c r="X40" s="360">
        <f t="shared" si="15"/>
        <v>24408.557276375952</v>
      </c>
      <c r="Z40" s="359">
        <f t="shared" si="16"/>
        <v>42124</v>
      </c>
      <c r="AA40" s="334">
        <f t="shared" si="17"/>
        <v>28</v>
      </c>
      <c r="AB40" s="335">
        <f t="shared" si="18"/>
        <v>227.1751863850151</v>
      </c>
      <c r="AC40" s="335"/>
      <c r="AD40" s="335">
        <f t="shared" si="19"/>
        <v>203.60109473356172</v>
      </c>
      <c r="AE40" s="335">
        <f t="shared" si="29"/>
        <v>23.574091651453386</v>
      </c>
      <c r="AF40" s="360">
        <f t="shared" si="20"/>
        <v>24408.557276375952</v>
      </c>
      <c r="AH40" s="359">
        <f t="shared" si="21"/>
        <v>42124</v>
      </c>
      <c r="AI40" s="334">
        <f t="shared" si="22"/>
        <v>28</v>
      </c>
      <c r="AJ40" s="335">
        <f t="shared" si="23"/>
        <v>227.1751863850151</v>
      </c>
      <c r="AK40" s="335"/>
      <c r="AL40" s="335">
        <f t="shared" si="24"/>
        <v>203.60109473356172</v>
      </c>
      <c r="AM40" s="335">
        <f t="shared" si="30"/>
        <v>23.574091651453386</v>
      </c>
      <c r="AN40" s="360">
        <f t="shared" si="25"/>
        <v>24408.557276375952</v>
      </c>
    </row>
    <row r="41" spans="1:40" ht="12.75">
      <c r="A41" s="359">
        <f t="shared" si="0"/>
        <v>42155</v>
      </c>
      <c r="B41" s="334">
        <f t="shared" si="1"/>
        <v>29</v>
      </c>
      <c r="C41" s="335">
        <f t="shared" si="2"/>
        <v>227.1751863850151</v>
      </c>
      <c r="D41" s="335"/>
      <c r="E41" s="335">
        <f t="shared" si="3"/>
        <v>203.4046439697996</v>
      </c>
      <c r="F41" s="335">
        <f t="shared" si="26"/>
        <v>23.770542415215516</v>
      </c>
      <c r="G41" s="360">
        <f t="shared" si="4"/>
        <v>24384.786733960736</v>
      </c>
      <c r="H41" s="332" t="e">
        <f t="shared" si="5"/>
        <v>#VALUE!</v>
      </c>
      <c r="I41" s="333"/>
      <c r="J41" s="359">
        <f t="shared" si="6"/>
        <v>42155</v>
      </c>
      <c r="K41" s="334">
        <f t="shared" si="7"/>
        <v>29</v>
      </c>
      <c r="L41" s="335">
        <f t="shared" si="8"/>
        <v>227.1751863850151</v>
      </c>
      <c r="M41" s="335"/>
      <c r="N41" s="335">
        <f t="shared" si="9"/>
        <v>203.4046439697996</v>
      </c>
      <c r="O41" s="335">
        <f t="shared" si="27"/>
        <v>23.770542415215516</v>
      </c>
      <c r="P41" s="360">
        <f t="shared" si="10"/>
        <v>24384.786733960736</v>
      </c>
      <c r="R41" s="359">
        <f t="shared" si="11"/>
        <v>42155</v>
      </c>
      <c r="S41" s="334">
        <f t="shared" si="12"/>
        <v>29</v>
      </c>
      <c r="T41" s="335">
        <f t="shared" si="13"/>
        <v>227.1751863850151</v>
      </c>
      <c r="U41" s="335"/>
      <c r="V41" s="335">
        <f t="shared" si="14"/>
        <v>203.4046439697996</v>
      </c>
      <c r="W41" s="335">
        <f t="shared" si="28"/>
        <v>23.770542415215516</v>
      </c>
      <c r="X41" s="360">
        <f t="shared" si="15"/>
        <v>24384.786733960736</v>
      </c>
      <c r="Z41" s="359">
        <f t="shared" si="16"/>
        <v>42155</v>
      </c>
      <c r="AA41" s="334">
        <f t="shared" si="17"/>
        <v>29</v>
      </c>
      <c r="AB41" s="335">
        <f t="shared" si="18"/>
        <v>227.1751863850151</v>
      </c>
      <c r="AC41" s="335"/>
      <c r="AD41" s="335">
        <f t="shared" si="19"/>
        <v>203.4046439697996</v>
      </c>
      <c r="AE41" s="335">
        <f t="shared" si="29"/>
        <v>23.770542415215516</v>
      </c>
      <c r="AF41" s="360">
        <f t="shared" si="20"/>
        <v>24384.786733960736</v>
      </c>
      <c r="AH41" s="359">
        <f t="shared" si="21"/>
        <v>42155</v>
      </c>
      <c r="AI41" s="334">
        <f t="shared" si="22"/>
        <v>29</v>
      </c>
      <c r="AJ41" s="335">
        <f t="shared" si="23"/>
        <v>227.1751863850151</v>
      </c>
      <c r="AK41" s="335"/>
      <c r="AL41" s="335">
        <f t="shared" si="24"/>
        <v>203.4046439697996</v>
      </c>
      <c r="AM41" s="335">
        <f t="shared" si="30"/>
        <v>23.770542415215516</v>
      </c>
      <c r="AN41" s="360">
        <f t="shared" si="25"/>
        <v>24384.786733960736</v>
      </c>
    </row>
    <row r="42" spans="1:40" ht="12.75">
      <c r="A42" s="359">
        <f t="shared" si="0"/>
        <v>42185</v>
      </c>
      <c r="B42" s="334">
        <f t="shared" si="1"/>
        <v>30</v>
      </c>
      <c r="C42" s="335">
        <f t="shared" si="2"/>
        <v>227.1751863850151</v>
      </c>
      <c r="D42" s="335"/>
      <c r="E42" s="335">
        <f t="shared" si="3"/>
        <v>203.20655611633947</v>
      </c>
      <c r="F42" s="335">
        <f t="shared" si="26"/>
        <v>23.96863026867564</v>
      </c>
      <c r="G42" s="360">
        <f t="shared" si="4"/>
        <v>24360.81810369206</v>
      </c>
      <c r="H42" s="336" t="e">
        <f t="shared" si="5"/>
        <v>#VALUE!</v>
      </c>
      <c r="I42" s="333"/>
      <c r="J42" s="359">
        <f t="shared" si="6"/>
        <v>42185</v>
      </c>
      <c r="K42" s="334">
        <f t="shared" si="7"/>
        <v>30</v>
      </c>
      <c r="L42" s="335">
        <f t="shared" si="8"/>
        <v>227.1751863850151</v>
      </c>
      <c r="M42" s="335"/>
      <c r="N42" s="335">
        <f t="shared" si="9"/>
        <v>203.20655611633947</v>
      </c>
      <c r="O42" s="335">
        <f t="shared" si="27"/>
        <v>23.96863026867564</v>
      </c>
      <c r="P42" s="360">
        <f t="shared" si="10"/>
        <v>24360.81810369206</v>
      </c>
      <c r="R42" s="359">
        <f t="shared" si="11"/>
        <v>42185</v>
      </c>
      <c r="S42" s="334">
        <f t="shared" si="12"/>
        <v>30</v>
      </c>
      <c r="T42" s="335">
        <f t="shared" si="13"/>
        <v>227.1751863850151</v>
      </c>
      <c r="U42" s="335"/>
      <c r="V42" s="335">
        <f t="shared" si="14"/>
        <v>203.20655611633947</v>
      </c>
      <c r="W42" s="335">
        <f t="shared" si="28"/>
        <v>23.96863026867564</v>
      </c>
      <c r="X42" s="360">
        <f t="shared" si="15"/>
        <v>24360.81810369206</v>
      </c>
      <c r="Z42" s="359">
        <f t="shared" si="16"/>
        <v>42185</v>
      </c>
      <c r="AA42" s="334">
        <f t="shared" si="17"/>
        <v>30</v>
      </c>
      <c r="AB42" s="335">
        <f t="shared" si="18"/>
        <v>227.1751863850151</v>
      </c>
      <c r="AC42" s="335"/>
      <c r="AD42" s="335">
        <f t="shared" si="19"/>
        <v>203.20655611633947</v>
      </c>
      <c r="AE42" s="335">
        <f t="shared" si="29"/>
        <v>23.96863026867564</v>
      </c>
      <c r="AF42" s="360">
        <f t="shared" si="20"/>
        <v>24360.81810369206</v>
      </c>
      <c r="AH42" s="359">
        <f t="shared" si="21"/>
        <v>42185</v>
      </c>
      <c r="AI42" s="334">
        <f t="shared" si="22"/>
        <v>30</v>
      </c>
      <c r="AJ42" s="335">
        <f t="shared" si="23"/>
        <v>227.1751863850151</v>
      </c>
      <c r="AK42" s="335"/>
      <c r="AL42" s="335">
        <f t="shared" si="24"/>
        <v>203.20655611633947</v>
      </c>
      <c r="AM42" s="335">
        <f t="shared" si="30"/>
        <v>23.96863026867564</v>
      </c>
      <c r="AN42" s="360">
        <f t="shared" si="25"/>
        <v>24360.81810369206</v>
      </c>
    </row>
    <row r="43" spans="1:40" ht="12.75">
      <c r="A43" s="359">
        <f t="shared" si="0"/>
        <v>42216</v>
      </c>
      <c r="B43" s="334">
        <f t="shared" si="1"/>
        <v>31</v>
      </c>
      <c r="C43" s="335">
        <f t="shared" si="2"/>
        <v>227.1751863850151</v>
      </c>
      <c r="D43" s="335"/>
      <c r="E43" s="335">
        <f t="shared" si="3"/>
        <v>203.00681753076717</v>
      </c>
      <c r="F43" s="335">
        <f t="shared" si="26"/>
        <v>24.168368854247944</v>
      </c>
      <c r="G43" s="360">
        <f t="shared" si="4"/>
        <v>24336.649734837814</v>
      </c>
      <c r="H43" s="336" t="e">
        <f t="shared" si="5"/>
        <v>#VALUE!</v>
      </c>
      <c r="I43" s="333"/>
      <c r="J43" s="359">
        <f t="shared" si="6"/>
        <v>42216</v>
      </c>
      <c r="K43" s="334">
        <f t="shared" si="7"/>
        <v>31</v>
      </c>
      <c r="L43" s="335">
        <f t="shared" si="8"/>
        <v>227.1751863850151</v>
      </c>
      <c r="M43" s="335"/>
      <c r="N43" s="335">
        <f t="shared" si="9"/>
        <v>203.00681753076717</v>
      </c>
      <c r="O43" s="335">
        <f t="shared" si="27"/>
        <v>24.168368854247944</v>
      </c>
      <c r="P43" s="360">
        <f t="shared" si="10"/>
        <v>24336.649734837814</v>
      </c>
      <c r="R43" s="359">
        <f t="shared" si="11"/>
        <v>42216</v>
      </c>
      <c r="S43" s="334">
        <f t="shared" si="12"/>
        <v>31</v>
      </c>
      <c r="T43" s="335">
        <f t="shared" si="13"/>
        <v>227.1751863850151</v>
      </c>
      <c r="U43" s="335"/>
      <c r="V43" s="335">
        <f t="shared" si="14"/>
        <v>203.00681753076717</v>
      </c>
      <c r="W43" s="335">
        <f t="shared" si="28"/>
        <v>24.168368854247944</v>
      </c>
      <c r="X43" s="360">
        <f t="shared" si="15"/>
        <v>24336.649734837814</v>
      </c>
      <c r="Z43" s="359">
        <f t="shared" si="16"/>
        <v>42216</v>
      </c>
      <c r="AA43" s="334">
        <f t="shared" si="17"/>
        <v>31</v>
      </c>
      <c r="AB43" s="335">
        <f t="shared" si="18"/>
        <v>227.1751863850151</v>
      </c>
      <c r="AC43" s="335"/>
      <c r="AD43" s="335">
        <f t="shared" si="19"/>
        <v>203.00681753076717</v>
      </c>
      <c r="AE43" s="335">
        <f t="shared" si="29"/>
        <v>24.168368854247944</v>
      </c>
      <c r="AF43" s="360">
        <f t="shared" si="20"/>
        <v>24336.649734837814</v>
      </c>
      <c r="AH43" s="359">
        <f t="shared" si="21"/>
        <v>42216</v>
      </c>
      <c r="AI43" s="334">
        <f t="shared" si="22"/>
        <v>31</v>
      </c>
      <c r="AJ43" s="335">
        <f t="shared" si="23"/>
        <v>227.1751863850151</v>
      </c>
      <c r="AK43" s="335"/>
      <c r="AL43" s="335">
        <f t="shared" si="24"/>
        <v>203.00681753076717</v>
      </c>
      <c r="AM43" s="335">
        <f t="shared" si="30"/>
        <v>24.168368854247944</v>
      </c>
      <c r="AN43" s="360">
        <f t="shared" si="25"/>
        <v>24336.649734837814</v>
      </c>
    </row>
    <row r="44" spans="1:40" ht="12.75">
      <c r="A44" s="359">
        <f t="shared" si="0"/>
        <v>42247</v>
      </c>
      <c r="B44" s="334">
        <f t="shared" si="1"/>
        <v>32</v>
      </c>
      <c r="C44" s="335">
        <f t="shared" si="2"/>
        <v>227.1751863850151</v>
      </c>
      <c r="D44" s="335"/>
      <c r="E44" s="335">
        <f t="shared" si="3"/>
        <v>202.8054144569818</v>
      </c>
      <c r="F44" s="335">
        <f t="shared" si="26"/>
        <v>24.369771928033316</v>
      </c>
      <c r="G44" s="360">
        <f t="shared" si="4"/>
        <v>24312.279962909783</v>
      </c>
      <c r="H44" s="336" t="e">
        <f t="shared" si="5"/>
        <v>#VALUE!</v>
      </c>
      <c r="I44" s="333"/>
      <c r="J44" s="359">
        <f t="shared" si="6"/>
        <v>42247</v>
      </c>
      <c r="K44" s="334">
        <f t="shared" si="7"/>
        <v>32</v>
      </c>
      <c r="L44" s="335">
        <f t="shared" si="8"/>
        <v>227.1751863850151</v>
      </c>
      <c r="M44" s="335"/>
      <c r="N44" s="335">
        <f t="shared" si="9"/>
        <v>202.8054144569818</v>
      </c>
      <c r="O44" s="335">
        <f t="shared" si="27"/>
        <v>24.369771928033316</v>
      </c>
      <c r="P44" s="360">
        <f t="shared" si="10"/>
        <v>24312.279962909783</v>
      </c>
      <c r="R44" s="359">
        <f t="shared" si="11"/>
        <v>42247</v>
      </c>
      <c r="S44" s="334">
        <f t="shared" si="12"/>
        <v>32</v>
      </c>
      <c r="T44" s="335">
        <f t="shared" si="13"/>
        <v>227.1751863850151</v>
      </c>
      <c r="U44" s="335"/>
      <c r="V44" s="335">
        <f t="shared" si="14"/>
        <v>202.8054144569818</v>
      </c>
      <c r="W44" s="335">
        <f t="shared" si="28"/>
        <v>24.369771928033316</v>
      </c>
      <c r="X44" s="360">
        <f t="shared" si="15"/>
        <v>24312.279962909783</v>
      </c>
      <c r="Z44" s="359">
        <f t="shared" si="16"/>
        <v>42247</v>
      </c>
      <c r="AA44" s="334">
        <f t="shared" si="17"/>
        <v>32</v>
      </c>
      <c r="AB44" s="335">
        <f t="shared" si="18"/>
        <v>227.1751863850151</v>
      </c>
      <c r="AC44" s="335"/>
      <c r="AD44" s="335">
        <f t="shared" si="19"/>
        <v>202.8054144569818</v>
      </c>
      <c r="AE44" s="335">
        <f t="shared" si="29"/>
        <v>24.369771928033316</v>
      </c>
      <c r="AF44" s="360">
        <f t="shared" si="20"/>
        <v>24312.279962909783</v>
      </c>
      <c r="AH44" s="359">
        <f t="shared" si="21"/>
        <v>42247</v>
      </c>
      <c r="AI44" s="334">
        <f t="shared" si="22"/>
        <v>32</v>
      </c>
      <c r="AJ44" s="335">
        <f t="shared" si="23"/>
        <v>227.1751863850151</v>
      </c>
      <c r="AK44" s="335"/>
      <c r="AL44" s="335">
        <f t="shared" si="24"/>
        <v>202.8054144569818</v>
      </c>
      <c r="AM44" s="335">
        <f t="shared" si="30"/>
        <v>24.369771928033316</v>
      </c>
      <c r="AN44" s="360">
        <f t="shared" si="25"/>
        <v>24312.279962909783</v>
      </c>
    </row>
    <row r="45" spans="1:40" ht="12.75">
      <c r="A45" s="359">
        <f t="shared" si="0"/>
        <v>42277</v>
      </c>
      <c r="B45" s="334">
        <f t="shared" si="1"/>
        <v>33</v>
      </c>
      <c r="C45" s="335">
        <f t="shared" si="2"/>
        <v>227.1751863850151</v>
      </c>
      <c r="D45" s="335"/>
      <c r="E45" s="335">
        <f t="shared" si="3"/>
        <v>202.6023330242482</v>
      </c>
      <c r="F45" s="335">
        <f t="shared" si="26"/>
        <v>24.572853360766914</v>
      </c>
      <c r="G45" s="360">
        <f t="shared" si="4"/>
        <v>24287.707109549017</v>
      </c>
      <c r="H45" s="336" t="e">
        <f t="shared" si="5"/>
        <v>#VALUE!</v>
      </c>
      <c r="I45" s="333"/>
      <c r="J45" s="359">
        <f t="shared" si="6"/>
        <v>42277</v>
      </c>
      <c r="K45" s="334">
        <f t="shared" si="7"/>
        <v>33</v>
      </c>
      <c r="L45" s="335">
        <f t="shared" si="8"/>
        <v>227.1751863850151</v>
      </c>
      <c r="M45" s="335"/>
      <c r="N45" s="335">
        <f t="shared" si="9"/>
        <v>202.6023330242482</v>
      </c>
      <c r="O45" s="335">
        <f t="shared" si="27"/>
        <v>24.572853360766914</v>
      </c>
      <c r="P45" s="360">
        <f t="shared" si="10"/>
        <v>24287.707109549017</v>
      </c>
      <c r="R45" s="359">
        <f t="shared" si="11"/>
        <v>42277</v>
      </c>
      <c r="S45" s="334">
        <f t="shared" si="12"/>
        <v>33</v>
      </c>
      <c r="T45" s="335">
        <f t="shared" si="13"/>
        <v>227.1751863850151</v>
      </c>
      <c r="U45" s="335"/>
      <c r="V45" s="335">
        <f t="shared" si="14"/>
        <v>202.6023330242482</v>
      </c>
      <c r="W45" s="335">
        <f t="shared" si="28"/>
        <v>24.572853360766914</v>
      </c>
      <c r="X45" s="360">
        <f t="shared" si="15"/>
        <v>24287.707109549017</v>
      </c>
      <c r="Z45" s="359">
        <f t="shared" si="16"/>
        <v>42277</v>
      </c>
      <c r="AA45" s="334">
        <f t="shared" si="17"/>
        <v>33</v>
      </c>
      <c r="AB45" s="335">
        <f t="shared" si="18"/>
        <v>227.1751863850151</v>
      </c>
      <c r="AC45" s="335"/>
      <c r="AD45" s="335">
        <f t="shared" si="19"/>
        <v>202.6023330242482</v>
      </c>
      <c r="AE45" s="335">
        <f t="shared" si="29"/>
        <v>24.572853360766914</v>
      </c>
      <c r="AF45" s="360">
        <f t="shared" si="20"/>
        <v>24287.707109549017</v>
      </c>
      <c r="AH45" s="359">
        <f t="shared" si="21"/>
        <v>42277</v>
      </c>
      <c r="AI45" s="334">
        <f t="shared" si="22"/>
        <v>33</v>
      </c>
      <c r="AJ45" s="335">
        <f t="shared" si="23"/>
        <v>227.1751863850151</v>
      </c>
      <c r="AK45" s="335"/>
      <c r="AL45" s="335">
        <f t="shared" si="24"/>
        <v>202.6023330242482</v>
      </c>
      <c r="AM45" s="335">
        <f t="shared" si="30"/>
        <v>24.572853360766914</v>
      </c>
      <c r="AN45" s="360">
        <f t="shared" si="25"/>
        <v>24287.707109549017</v>
      </c>
    </row>
    <row r="46" spans="1:40" ht="12.75">
      <c r="A46" s="359">
        <f t="shared" si="0"/>
        <v>42308</v>
      </c>
      <c r="B46" s="334">
        <f t="shared" si="1"/>
        <v>34</v>
      </c>
      <c r="C46" s="335">
        <f t="shared" si="2"/>
        <v>227.1751863850151</v>
      </c>
      <c r="D46" s="335"/>
      <c r="E46" s="335">
        <f t="shared" si="3"/>
        <v>202.3975592462418</v>
      </c>
      <c r="F46" s="335">
        <f t="shared" si="26"/>
        <v>24.777627138773312</v>
      </c>
      <c r="G46" s="360">
        <f t="shared" si="4"/>
        <v>24262.929482410244</v>
      </c>
      <c r="H46" s="336" t="e">
        <f t="shared" si="5"/>
        <v>#VALUE!</v>
      </c>
      <c r="I46" s="333"/>
      <c r="J46" s="359">
        <f t="shared" si="6"/>
        <v>42308</v>
      </c>
      <c r="K46" s="334">
        <f t="shared" si="7"/>
        <v>34</v>
      </c>
      <c r="L46" s="335">
        <f t="shared" si="8"/>
        <v>227.1751863850151</v>
      </c>
      <c r="M46" s="335"/>
      <c r="N46" s="335">
        <f t="shared" si="9"/>
        <v>202.3975592462418</v>
      </c>
      <c r="O46" s="335">
        <f t="shared" si="27"/>
        <v>24.777627138773312</v>
      </c>
      <c r="P46" s="360">
        <f t="shared" si="10"/>
        <v>24262.929482410244</v>
      </c>
      <c r="R46" s="359">
        <f t="shared" si="11"/>
        <v>42308</v>
      </c>
      <c r="S46" s="334">
        <f t="shared" si="12"/>
        <v>34</v>
      </c>
      <c r="T46" s="335">
        <f t="shared" si="13"/>
        <v>227.1751863850151</v>
      </c>
      <c r="U46" s="335"/>
      <c r="V46" s="335">
        <f t="shared" si="14"/>
        <v>202.3975592462418</v>
      </c>
      <c r="W46" s="335">
        <f t="shared" si="28"/>
        <v>24.777627138773312</v>
      </c>
      <c r="X46" s="360">
        <f t="shared" si="15"/>
        <v>24262.929482410244</v>
      </c>
      <c r="Z46" s="359">
        <f t="shared" si="16"/>
        <v>42308</v>
      </c>
      <c r="AA46" s="334">
        <f t="shared" si="17"/>
        <v>34</v>
      </c>
      <c r="AB46" s="335">
        <f t="shared" si="18"/>
        <v>227.1751863850151</v>
      </c>
      <c r="AC46" s="335"/>
      <c r="AD46" s="335">
        <f t="shared" si="19"/>
        <v>202.3975592462418</v>
      </c>
      <c r="AE46" s="335">
        <f t="shared" si="29"/>
        <v>24.777627138773312</v>
      </c>
      <c r="AF46" s="360">
        <f t="shared" si="20"/>
        <v>24262.929482410244</v>
      </c>
      <c r="AH46" s="359">
        <f t="shared" si="21"/>
        <v>42308</v>
      </c>
      <c r="AI46" s="334">
        <f t="shared" si="22"/>
        <v>34</v>
      </c>
      <c r="AJ46" s="335">
        <f t="shared" si="23"/>
        <v>227.1751863850151</v>
      </c>
      <c r="AK46" s="335"/>
      <c r="AL46" s="335">
        <f t="shared" si="24"/>
        <v>202.3975592462418</v>
      </c>
      <c r="AM46" s="335">
        <f t="shared" si="30"/>
        <v>24.777627138773312</v>
      </c>
      <c r="AN46" s="360">
        <f t="shared" si="25"/>
        <v>24262.929482410244</v>
      </c>
    </row>
    <row r="47" spans="1:40" ht="12.75">
      <c r="A47" s="359">
        <f t="shared" si="0"/>
        <v>42338</v>
      </c>
      <c r="B47" s="334">
        <f t="shared" si="1"/>
        <v>35</v>
      </c>
      <c r="C47" s="335">
        <f t="shared" si="2"/>
        <v>227.1751863850151</v>
      </c>
      <c r="D47" s="335"/>
      <c r="E47" s="335">
        <f t="shared" si="3"/>
        <v>202.19107902008537</v>
      </c>
      <c r="F47" s="335">
        <f t="shared" si="26"/>
        <v>24.98410736492974</v>
      </c>
      <c r="G47" s="360">
        <f t="shared" si="4"/>
        <v>24237.945375045314</v>
      </c>
      <c r="H47" s="336" t="e">
        <f t="shared" si="5"/>
        <v>#VALUE!</v>
      </c>
      <c r="I47" s="333"/>
      <c r="J47" s="359">
        <f t="shared" si="6"/>
        <v>42338</v>
      </c>
      <c r="K47" s="334">
        <f t="shared" si="7"/>
        <v>35</v>
      </c>
      <c r="L47" s="335">
        <f t="shared" si="8"/>
        <v>227.1751863850151</v>
      </c>
      <c r="M47" s="335"/>
      <c r="N47" s="335">
        <f t="shared" si="9"/>
        <v>202.19107902008537</v>
      </c>
      <c r="O47" s="335">
        <f t="shared" si="27"/>
        <v>24.98410736492974</v>
      </c>
      <c r="P47" s="360">
        <f t="shared" si="10"/>
        <v>24237.945375045314</v>
      </c>
      <c r="R47" s="359">
        <f t="shared" si="11"/>
        <v>42338</v>
      </c>
      <c r="S47" s="334">
        <f t="shared" si="12"/>
        <v>35</v>
      </c>
      <c r="T47" s="335">
        <f t="shared" si="13"/>
        <v>227.1751863850151</v>
      </c>
      <c r="U47" s="335"/>
      <c r="V47" s="335">
        <f t="shared" si="14"/>
        <v>202.19107902008537</v>
      </c>
      <c r="W47" s="335">
        <f t="shared" si="28"/>
        <v>24.98410736492974</v>
      </c>
      <c r="X47" s="360">
        <f t="shared" si="15"/>
        <v>24237.945375045314</v>
      </c>
      <c r="Z47" s="359">
        <f t="shared" si="16"/>
        <v>42338</v>
      </c>
      <c r="AA47" s="334">
        <f t="shared" si="17"/>
        <v>35</v>
      </c>
      <c r="AB47" s="335">
        <f t="shared" si="18"/>
        <v>227.1751863850151</v>
      </c>
      <c r="AC47" s="335"/>
      <c r="AD47" s="335">
        <f t="shared" si="19"/>
        <v>202.19107902008537</v>
      </c>
      <c r="AE47" s="335">
        <f t="shared" si="29"/>
        <v>24.98410736492974</v>
      </c>
      <c r="AF47" s="360">
        <f t="shared" si="20"/>
        <v>24237.945375045314</v>
      </c>
      <c r="AH47" s="359">
        <f t="shared" si="21"/>
        <v>42338</v>
      </c>
      <c r="AI47" s="334">
        <f t="shared" si="22"/>
        <v>35</v>
      </c>
      <c r="AJ47" s="335">
        <f t="shared" si="23"/>
        <v>227.1751863850151</v>
      </c>
      <c r="AK47" s="335"/>
      <c r="AL47" s="335">
        <f t="shared" si="24"/>
        <v>202.19107902008537</v>
      </c>
      <c r="AM47" s="335">
        <f t="shared" si="30"/>
        <v>24.98410736492974</v>
      </c>
      <c r="AN47" s="360">
        <f t="shared" si="25"/>
        <v>24237.945375045314</v>
      </c>
    </row>
    <row r="48" spans="1:40" ht="12.75">
      <c r="A48" s="359">
        <f t="shared" si="0"/>
        <v>42369</v>
      </c>
      <c r="B48" s="334">
        <f t="shared" si="1"/>
        <v>36</v>
      </c>
      <c r="C48" s="335">
        <f t="shared" si="2"/>
        <v>227.1751863850151</v>
      </c>
      <c r="D48" s="335"/>
      <c r="E48" s="335">
        <f t="shared" si="3"/>
        <v>201.98287812537762</v>
      </c>
      <c r="F48" s="335">
        <f t="shared" si="26"/>
        <v>25.192308259637485</v>
      </c>
      <c r="G48" s="360">
        <f t="shared" si="4"/>
        <v>24212.753066785677</v>
      </c>
      <c r="H48" s="336" t="e">
        <f t="shared" si="5"/>
        <v>#VALUE!</v>
      </c>
      <c r="I48" s="333"/>
      <c r="J48" s="359">
        <f t="shared" si="6"/>
        <v>42369</v>
      </c>
      <c r="K48" s="334">
        <f t="shared" si="7"/>
        <v>36</v>
      </c>
      <c r="L48" s="335">
        <f t="shared" si="8"/>
        <v>227.1751863850151</v>
      </c>
      <c r="M48" s="335"/>
      <c r="N48" s="335">
        <f t="shared" si="9"/>
        <v>201.98287812537762</v>
      </c>
      <c r="O48" s="335">
        <f t="shared" si="27"/>
        <v>25.192308259637485</v>
      </c>
      <c r="P48" s="360">
        <f t="shared" si="10"/>
        <v>24212.753066785677</v>
      </c>
      <c r="R48" s="359">
        <f t="shared" si="11"/>
        <v>42369</v>
      </c>
      <c r="S48" s="334">
        <f t="shared" si="12"/>
        <v>36</v>
      </c>
      <c r="T48" s="335">
        <f t="shared" si="13"/>
        <v>227.1751863850151</v>
      </c>
      <c r="U48" s="335"/>
      <c r="V48" s="335">
        <f t="shared" si="14"/>
        <v>201.98287812537762</v>
      </c>
      <c r="W48" s="335">
        <f t="shared" si="28"/>
        <v>25.192308259637485</v>
      </c>
      <c r="X48" s="360">
        <f t="shared" si="15"/>
        <v>24212.753066785677</v>
      </c>
      <c r="Z48" s="359">
        <f t="shared" si="16"/>
        <v>42369</v>
      </c>
      <c r="AA48" s="334">
        <f t="shared" si="17"/>
        <v>36</v>
      </c>
      <c r="AB48" s="335">
        <f t="shared" si="18"/>
        <v>227.1751863850151</v>
      </c>
      <c r="AC48" s="335"/>
      <c r="AD48" s="335">
        <f t="shared" si="19"/>
        <v>201.98287812537762</v>
      </c>
      <c r="AE48" s="335">
        <f t="shared" si="29"/>
        <v>25.192308259637485</v>
      </c>
      <c r="AF48" s="360">
        <f t="shared" si="20"/>
        <v>24212.753066785677</v>
      </c>
      <c r="AH48" s="359">
        <f t="shared" si="21"/>
        <v>42369</v>
      </c>
      <c r="AI48" s="334">
        <f t="shared" si="22"/>
        <v>36</v>
      </c>
      <c r="AJ48" s="335">
        <f t="shared" si="23"/>
        <v>227.1751863850151</v>
      </c>
      <c r="AK48" s="335"/>
      <c r="AL48" s="335">
        <f t="shared" si="24"/>
        <v>201.98287812537762</v>
      </c>
      <c r="AM48" s="335">
        <f t="shared" si="30"/>
        <v>25.192308259637485</v>
      </c>
      <c r="AN48" s="360">
        <f t="shared" si="25"/>
        <v>24212.753066785677</v>
      </c>
    </row>
    <row r="49" spans="1:40" ht="12.75">
      <c r="A49" s="359">
        <f t="shared" si="0"/>
        <v>42400</v>
      </c>
      <c r="B49" s="334">
        <f t="shared" si="1"/>
        <v>37</v>
      </c>
      <c r="C49" s="335">
        <f t="shared" si="2"/>
        <v>227.1751863850151</v>
      </c>
      <c r="D49" s="335"/>
      <c r="E49" s="335">
        <f t="shared" si="3"/>
        <v>201.772942223214</v>
      </c>
      <c r="F49" s="335">
        <f t="shared" si="26"/>
        <v>25.40224416180112</v>
      </c>
      <c r="G49" s="360">
        <f t="shared" si="4"/>
        <v>24187.350822623877</v>
      </c>
      <c r="H49" s="336" t="e">
        <f t="shared" si="5"/>
        <v>#VALUE!</v>
      </c>
      <c r="I49" s="333"/>
      <c r="J49" s="359">
        <f t="shared" si="6"/>
        <v>42400</v>
      </c>
      <c r="K49" s="334">
        <f t="shared" si="7"/>
        <v>37</v>
      </c>
      <c r="L49" s="335">
        <f t="shared" si="8"/>
        <v>227.1751863850151</v>
      </c>
      <c r="M49" s="335"/>
      <c r="N49" s="335">
        <f t="shared" si="9"/>
        <v>201.772942223214</v>
      </c>
      <c r="O49" s="335">
        <f t="shared" si="27"/>
        <v>25.40224416180112</v>
      </c>
      <c r="P49" s="360">
        <f t="shared" si="10"/>
        <v>24187.350822623877</v>
      </c>
      <c r="R49" s="359">
        <f t="shared" si="11"/>
        <v>42400</v>
      </c>
      <c r="S49" s="334">
        <f t="shared" si="12"/>
        <v>37</v>
      </c>
      <c r="T49" s="335">
        <f t="shared" si="13"/>
        <v>227.1751863850151</v>
      </c>
      <c r="U49" s="335"/>
      <c r="V49" s="335">
        <f t="shared" si="14"/>
        <v>201.772942223214</v>
      </c>
      <c r="W49" s="335">
        <f t="shared" si="28"/>
        <v>25.40224416180112</v>
      </c>
      <c r="X49" s="360">
        <f t="shared" si="15"/>
        <v>24187.350822623877</v>
      </c>
      <c r="Z49" s="359">
        <f t="shared" si="16"/>
        <v>42400</v>
      </c>
      <c r="AA49" s="334">
        <f t="shared" si="17"/>
        <v>37</v>
      </c>
      <c r="AB49" s="335">
        <f t="shared" si="18"/>
        <v>227.1751863850151</v>
      </c>
      <c r="AC49" s="335"/>
      <c r="AD49" s="335">
        <f t="shared" si="19"/>
        <v>201.772942223214</v>
      </c>
      <c r="AE49" s="335">
        <f t="shared" si="29"/>
        <v>25.40224416180112</v>
      </c>
      <c r="AF49" s="360">
        <f t="shared" si="20"/>
        <v>24187.350822623877</v>
      </c>
      <c r="AH49" s="359">
        <f t="shared" si="21"/>
        <v>42400</v>
      </c>
      <c r="AI49" s="334">
        <f t="shared" si="22"/>
        <v>37</v>
      </c>
      <c r="AJ49" s="335">
        <f t="shared" si="23"/>
        <v>227.1751863850151</v>
      </c>
      <c r="AK49" s="335"/>
      <c r="AL49" s="335">
        <f t="shared" si="24"/>
        <v>201.772942223214</v>
      </c>
      <c r="AM49" s="335">
        <f t="shared" si="30"/>
        <v>25.40224416180112</v>
      </c>
      <c r="AN49" s="360">
        <f t="shared" si="25"/>
        <v>24187.350822623877</v>
      </c>
    </row>
    <row r="50" spans="1:40" ht="12.75">
      <c r="A50" s="359">
        <f t="shared" si="0"/>
        <v>42429</v>
      </c>
      <c r="B50" s="334">
        <f t="shared" si="1"/>
        <v>38</v>
      </c>
      <c r="C50" s="335">
        <f t="shared" si="2"/>
        <v>227.1751863850151</v>
      </c>
      <c r="D50" s="335"/>
      <c r="E50" s="335">
        <f t="shared" si="3"/>
        <v>201.56125685519896</v>
      </c>
      <c r="F50" s="335">
        <f t="shared" si="26"/>
        <v>25.613929529816147</v>
      </c>
      <c r="G50" s="360">
        <f t="shared" si="4"/>
        <v>24161.73689309406</v>
      </c>
      <c r="H50" s="336" t="e">
        <f t="shared" si="5"/>
        <v>#VALUE!</v>
      </c>
      <c r="I50" s="333"/>
      <c r="J50" s="359">
        <f t="shared" si="6"/>
        <v>42429</v>
      </c>
      <c r="K50" s="334">
        <f t="shared" si="7"/>
        <v>38</v>
      </c>
      <c r="L50" s="335">
        <f t="shared" si="8"/>
        <v>227.1751863850151</v>
      </c>
      <c r="M50" s="335"/>
      <c r="N50" s="335">
        <f t="shared" si="9"/>
        <v>201.56125685519896</v>
      </c>
      <c r="O50" s="335">
        <f t="shared" si="27"/>
        <v>25.613929529816147</v>
      </c>
      <c r="P50" s="360">
        <f t="shared" si="10"/>
        <v>24161.73689309406</v>
      </c>
      <c r="R50" s="359">
        <f t="shared" si="11"/>
        <v>42429</v>
      </c>
      <c r="S50" s="334">
        <f t="shared" si="12"/>
        <v>38</v>
      </c>
      <c r="T50" s="335">
        <f t="shared" si="13"/>
        <v>227.1751863850151</v>
      </c>
      <c r="U50" s="335"/>
      <c r="V50" s="335">
        <f t="shared" si="14"/>
        <v>201.56125685519896</v>
      </c>
      <c r="W50" s="335">
        <f t="shared" si="28"/>
        <v>25.613929529816147</v>
      </c>
      <c r="X50" s="360">
        <f t="shared" si="15"/>
        <v>24161.73689309406</v>
      </c>
      <c r="Z50" s="359">
        <f t="shared" si="16"/>
        <v>42429</v>
      </c>
      <c r="AA50" s="334">
        <f t="shared" si="17"/>
        <v>38</v>
      </c>
      <c r="AB50" s="335">
        <f t="shared" si="18"/>
        <v>227.1751863850151</v>
      </c>
      <c r="AC50" s="335"/>
      <c r="AD50" s="335">
        <f t="shared" si="19"/>
        <v>201.56125685519896</v>
      </c>
      <c r="AE50" s="335">
        <f t="shared" si="29"/>
        <v>25.613929529816147</v>
      </c>
      <c r="AF50" s="360">
        <f t="shared" si="20"/>
        <v>24161.73689309406</v>
      </c>
      <c r="AH50" s="359">
        <f t="shared" si="21"/>
        <v>42429</v>
      </c>
      <c r="AI50" s="334">
        <f t="shared" si="22"/>
        <v>38</v>
      </c>
      <c r="AJ50" s="335">
        <f t="shared" si="23"/>
        <v>227.1751863850151</v>
      </c>
      <c r="AK50" s="335"/>
      <c r="AL50" s="335">
        <f t="shared" si="24"/>
        <v>201.56125685519896</v>
      </c>
      <c r="AM50" s="335">
        <f t="shared" si="30"/>
        <v>25.613929529816147</v>
      </c>
      <c r="AN50" s="360">
        <f t="shared" si="25"/>
        <v>24161.73689309406</v>
      </c>
    </row>
    <row r="51" spans="1:40" ht="12.75">
      <c r="A51" s="359">
        <f t="shared" si="0"/>
        <v>42460</v>
      </c>
      <c r="B51" s="334">
        <f t="shared" si="1"/>
        <v>39</v>
      </c>
      <c r="C51" s="335">
        <f t="shared" si="2"/>
        <v>227.1751863850151</v>
      </c>
      <c r="D51" s="335"/>
      <c r="E51" s="335">
        <f t="shared" si="3"/>
        <v>201.34780744245052</v>
      </c>
      <c r="F51" s="335">
        <f t="shared" si="26"/>
        <v>25.827378942564593</v>
      </c>
      <c r="G51" s="360">
        <f t="shared" si="4"/>
        <v>24135.909514151495</v>
      </c>
      <c r="H51" s="336" t="e">
        <f t="shared" si="5"/>
        <v>#VALUE!</v>
      </c>
      <c r="I51" s="333"/>
      <c r="J51" s="359">
        <f t="shared" si="6"/>
        <v>42460</v>
      </c>
      <c r="K51" s="334">
        <f t="shared" si="7"/>
        <v>39</v>
      </c>
      <c r="L51" s="335">
        <f t="shared" si="8"/>
        <v>227.1751863850151</v>
      </c>
      <c r="M51" s="335"/>
      <c r="N51" s="335">
        <f t="shared" si="9"/>
        <v>201.34780744245052</v>
      </c>
      <c r="O51" s="335">
        <f t="shared" si="27"/>
        <v>25.827378942564593</v>
      </c>
      <c r="P51" s="360">
        <f t="shared" si="10"/>
        <v>24135.909514151495</v>
      </c>
      <c r="R51" s="359">
        <f t="shared" si="11"/>
        <v>42460</v>
      </c>
      <c r="S51" s="334">
        <f t="shared" si="12"/>
        <v>39</v>
      </c>
      <c r="T51" s="335">
        <f t="shared" si="13"/>
        <v>227.1751863850151</v>
      </c>
      <c r="U51" s="335"/>
      <c r="V51" s="335">
        <f t="shared" si="14"/>
        <v>201.34780744245052</v>
      </c>
      <c r="W51" s="335">
        <f t="shared" si="28"/>
        <v>25.827378942564593</v>
      </c>
      <c r="X51" s="360">
        <f t="shared" si="15"/>
        <v>24135.909514151495</v>
      </c>
      <c r="Z51" s="359">
        <f t="shared" si="16"/>
        <v>42460</v>
      </c>
      <c r="AA51" s="334">
        <f t="shared" si="17"/>
        <v>39</v>
      </c>
      <c r="AB51" s="335">
        <f t="shared" si="18"/>
        <v>227.1751863850151</v>
      </c>
      <c r="AC51" s="335"/>
      <c r="AD51" s="335">
        <f t="shared" si="19"/>
        <v>201.34780744245052</v>
      </c>
      <c r="AE51" s="335">
        <f t="shared" si="29"/>
        <v>25.827378942564593</v>
      </c>
      <c r="AF51" s="360">
        <f t="shared" si="20"/>
        <v>24135.909514151495</v>
      </c>
      <c r="AH51" s="359">
        <f t="shared" si="21"/>
        <v>42460</v>
      </c>
      <c r="AI51" s="334">
        <f t="shared" si="22"/>
        <v>39</v>
      </c>
      <c r="AJ51" s="335">
        <f t="shared" si="23"/>
        <v>227.1751863850151</v>
      </c>
      <c r="AK51" s="335"/>
      <c r="AL51" s="335">
        <f t="shared" si="24"/>
        <v>201.34780744245052</v>
      </c>
      <c r="AM51" s="335">
        <f t="shared" si="30"/>
        <v>25.827378942564593</v>
      </c>
      <c r="AN51" s="360">
        <f t="shared" si="25"/>
        <v>24135.909514151495</v>
      </c>
    </row>
    <row r="52" spans="1:40" ht="12.75">
      <c r="A52" s="359">
        <f t="shared" si="0"/>
        <v>42490</v>
      </c>
      <c r="B52" s="334">
        <f t="shared" si="1"/>
        <v>40</v>
      </c>
      <c r="C52" s="335">
        <f t="shared" si="2"/>
        <v>227.1751863850151</v>
      </c>
      <c r="D52" s="335"/>
      <c r="E52" s="335">
        <f t="shared" si="3"/>
        <v>201.1325792845958</v>
      </c>
      <c r="F52" s="335">
        <f t="shared" si="26"/>
        <v>26.042607100419303</v>
      </c>
      <c r="G52" s="360">
        <f t="shared" si="4"/>
        <v>24109.866907051077</v>
      </c>
      <c r="H52" s="336" t="e">
        <f t="shared" si="5"/>
        <v>#VALUE!</v>
      </c>
      <c r="I52" s="333"/>
      <c r="J52" s="359">
        <f t="shared" si="6"/>
        <v>42490</v>
      </c>
      <c r="K52" s="334">
        <f t="shared" si="7"/>
        <v>40</v>
      </c>
      <c r="L52" s="335">
        <f t="shared" si="8"/>
        <v>227.1751863850151</v>
      </c>
      <c r="M52" s="335"/>
      <c r="N52" s="335">
        <f t="shared" si="9"/>
        <v>201.1325792845958</v>
      </c>
      <c r="O52" s="335">
        <f t="shared" si="27"/>
        <v>26.042607100419303</v>
      </c>
      <c r="P52" s="360">
        <f t="shared" si="10"/>
        <v>24109.866907051077</v>
      </c>
      <c r="R52" s="359">
        <f t="shared" si="11"/>
        <v>42490</v>
      </c>
      <c r="S52" s="334">
        <f t="shared" si="12"/>
        <v>40</v>
      </c>
      <c r="T52" s="335">
        <f t="shared" si="13"/>
        <v>227.1751863850151</v>
      </c>
      <c r="U52" s="335"/>
      <c r="V52" s="335">
        <f t="shared" si="14"/>
        <v>201.1325792845958</v>
      </c>
      <c r="W52" s="335">
        <f t="shared" si="28"/>
        <v>26.042607100419303</v>
      </c>
      <c r="X52" s="360">
        <f t="shared" si="15"/>
        <v>24109.866907051077</v>
      </c>
      <c r="Z52" s="359">
        <f t="shared" si="16"/>
        <v>42490</v>
      </c>
      <c r="AA52" s="334">
        <f t="shared" si="17"/>
        <v>40</v>
      </c>
      <c r="AB52" s="335">
        <f t="shared" si="18"/>
        <v>227.1751863850151</v>
      </c>
      <c r="AC52" s="335"/>
      <c r="AD52" s="335">
        <f t="shared" si="19"/>
        <v>201.1325792845958</v>
      </c>
      <c r="AE52" s="335">
        <f t="shared" si="29"/>
        <v>26.042607100419303</v>
      </c>
      <c r="AF52" s="360">
        <f t="shared" si="20"/>
        <v>24109.866907051077</v>
      </c>
      <c r="AH52" s="359">
        <f t="shared" si="21"/>
        <v>42490</v>
      </c>
      <c r="AI52" s="334">
        <f t="shared" si="22"/>
        <v>40</v>
      </c>
      <c r="AJ52" s="335">
        <f t="shared" si="23"/>
        <v>227.1751863850151</v>
      </c>
      <c r="AK52" s="335"/>
      <c r="AL52" s="335">
        <f t="shared" si="24"/>
        <v>201.1325792845958</v>
      </c>
      <c r="AM52" s="335">
        <f t="shared" si="30"/>
        <v>26.042607100419303</v>
      </c>
      <c r="AN52" s="360">
        <f t="shared" si="25"/>
        <v>24109.866907051077</v>
      </c>
    </row>
    <row r="53" spans="1:40" ht="12.75">
      <c r="A53" s="359">
        <f t="shared" si="0"/>
        <v>42521</v>
      </c>
      <c r="B53" s="334">
        <f t="shared" si="1"/>
        <v>41</v>
      </c>
      <c r="C53" s="335">
        <f t="shared" si="2"/>
        <v>227.1751863850151</v>
      </c>
      <c r="D53" s="335"/>
      <c r="E53" s="335">
        <f t="shared" si="3"/>
        <v>200.91555755875896</v>
      </c>
      <c r="F53" s="335">
        <f t="shared" si="26"/>
        <v>26.259628826256147</v>
      </c>
      <c r="G53" s="360">
        <f t="shared" si="4"/>
        <v>24083.60727822482</v>
      </c>
      <c r="H53" s="336" t="e">
        <f t="shared" si="5"/>
        <v>#VALUE!</v>
      </c>
      <c r="I53" s="333"/>
      <c r="J53" s="359">
        <f t="shared" si="6"/>
        <v>42521</v>
      </c>
      <c r="K53" s="334">
        <f t="shared" si="7"/>
        <v>41</v>
      </c>
      <c r="L53" s="335">
        <f t="shared" si="8"/>
        <v>227.1751863850151</v>
      </c>
      <c r="M53" s="335"/>
      <c r="N53" s="335">
        <f t="shared" si="9"/>
        <v>200.91555755875896</v>
      </c>
      <c r="O53" s="335">
        <f t="shared" si="27"/>
        <v>26.259628826256147</v>
      </c>
      <c r="P53" s="360">
        <f t="shared" si="10"/>
        <v>24083.60727822482</v>
      </c>
      <c r="R53" s="359">
        <f t="shared" si="11"/>
        <v>42521</v>
      </c>
      <c r="S53" s="334">
        <f t="shared" si="12"/>
        <v>41</v>
      </c>
      <c r="T53" s="335">
        <f t="shared" si="13"/>
        <v>227.1751863850151</v>
      </c>
      <c r="U53" s="335"/>
      <c r="V53" s="335">
        <f t="shared" si="14"/>
        <v>200.91555755875896</v>
      </c>
      <c r="W53" s="335">
        <f t="shared" si="28"/>
        <v>26.259628826256147</v>
      </c>
      <c r="X53" s="360">
        <f t="shared" si="15"/>
        <v>24083.60727822482</v>
      </c>
      <c r="Z53" s="359">
        <f t="shared" si="16"/>
        <v>42521</v>
      </c>
      <c r="AA53" s="334">
        <f t="shared" si="17"/>
        <v>41</v>
      </c>
      <c r="AB53" s="335">
        <f t="shared" si="18"/>
        <v>227.1751863850151</v>
      </c>
      <c r="AC53" s="335"/>
      <c r="AD53" s="335">
        <f t="shared" si="19"/>
        <v>200.91555755875896</v>
      </c>
      <c r="AE53" s="335">
        <f t="shared" si="29"/>
        <v>26.259628826256147</v>
      </c>
      <c r="AF53" s="360">
        <f t="shared" si="20"/>
        <v>24083.60727822482</v>
      </c>
      <c r="AH53" s="359">
        <f t="shared" si="21"/>
        <v>42521</v>
      </c>
      <c r="AI53" s="334">
        <f t="shared" si="22"/>
        <v>41</v>
      </c>
      <c r="AJ53" s="335">
        <f t="shared" si="23"/>
        <v>227.1751863850151</v>
      </c>
      <c r="AK53" s="335"/>
      <c r="AL53" s="335">
        <f t="shared" si="24"/>
        <v>200.91555755875896</v>
      </c>
      <c r="AM53" s="335">
        <f t="shared" si="30"/>
        <v>26.259628826256147</v>
      </c>
      <c r="AN53" s="360">
        <f t="shared" si="25"/>
        <v>24083.60727822482</v>
      </c>
    </row>
    <row r="54" spans="1:40" ht="12.75">
      <c r="A54" s="359">
        <f t="shared" si="0"/>
        <v>42551</v>
      </c>
      <c r="B54" s="334">
        <f t="shared" si="1"/>
        <v>42</v>
      </c>
      <c r="C54" s="335">
        <f t="shared" si="2"/>
        <v>227.1751863850151</v>
      </c>
      <c r="D54" s="335"/>
      <c r="E54" s="335">
        <f t="shared" si="3"/>
        <v>200.69672731854016</v>
      </c>
      <c r="F54" s="335">
        <f t="shared" si="26"/>
        <v>26.478459066474954</v>
      </c>
      <c r="G54" s="360">
        <f t="shared" si="4"/>
        <v>24057.128819158344</v>
      </c>
      <c r="H54" s="336" t="e">
        <f t="shared" si="5"/>
        <v>#VALUE!</v>
      </c>
      <c r="I54" s="333"/>
      <c r="J54" s="359">
        <f t="shared" si="6"/>
        <v>42551</v>
      </c>
      <c r="K54" s="334">
        <f t="shared" si="7"/>
        <v>42</v>
      </c>
      <c r="L54" s="335">
        <f t="shared" si="8"/>
        <v>227.1751863850151</v>
      </c>
      <c r="M54" s="335"/>
      <c r="N54" s="335">
        <f t="shared" si="9"/>
        <v>200.69672731854016</v>
      </c>
      <c r="O54" s="335">
        <f t="shared" si="27"/>
        <v>26.478459066474954</v>
      </c>
      <c r="P54" s="360">
        <f t="shared" si="10"/>
        <v>24057.128819158344</v>
      </c>
      <c r="R54" s="359">
        <f t="shared" si="11"/>
        <v>42551</v>
      </c>
      <c r="S54" s="334">
        <f t="shared" si="12"/>
        <v>42</v>
      </c>
      <c r="T54" s="335">
        <f t="shared" si="13"/>
        <v>227.1751863850151</v>
      </c>
      <c r="U54" s="335"/>
      <c r="V54" s="335">
        <f t="shared" si="14"/>
        <v>200.69672731854016</v>
      </c>
      <c r="W54" s="335">
        <f t="shared" si="28"/>
        <v>26.478459066474954</v>
      </c>
      <c r="X54" s="360">
        <f t="shared" si="15"/>
        <v>24057.128819158344</v>
      </c>
      <c r="Z54" s="359">
        <f t="shared" si="16"/>
        <v>42551</v>
      </c>
      <c r="AA54" s="334">
        <f t="shared" si="17"/>
        <v>42</v>
      </c>
      <c r="AB54" s="335">
        <f t="shared" si="18"/>
        <v>227.1751863850151</v>
      </c>
      <c r="AC54" s="335"/>
      <c r="AD54" s="335">
        <f t="shared" si="19"/>
        <v>200.69672731854016</v>
      </c>
      <c r="AE54" s="335">
        <f t="shared" si="29"/>
        <v>26.478459066474954</v>
      </c>
      <c r="AF54" s="360">
        <f t="shared" si="20"/>
        <v>24057.128819158344</v>
      </c>
      <c r="AH54" s="359">
        <f t="shared" si="21"/>
        <v>42551</v>
      </c>
      <c r="AI54" s="334">
        <f t="shared" si="22"/>
        <v>42</v>
      </c>
      <c r="AJ54" s="335">
        <f t="shared" si="23"/>
        <v>227.1751863850151</v>
      </c>
      <c r="AK54" s="335"/>
      <c r="AL54" s="335">
        <f t="shared" si="24"/>
        <v>200.69672731854016</v>
      </c>
      <c r="AM54" s="335">
        <f t="shared" si="30"/>
        <v>26.478459066474954</v>
      </c>
      <c r="AN54" s="360">
        <f t="shared" si="25"/>
        <v>24057.128819158344</v>
      </c>
    </row>
    <row r="55" spans="1:40" ht="12.75">
      <c r="A55" s="359">
        <f t="shared" si="0"/>
        <v>42582</v>
      </c>
      <c r="B55" s="334">
        <f t="shared" si="1"/>
        <v>43</v>
      </c>
      <c r="C55" s="335">
        <f t="shared" si="2"/>
        <v>227.1751863850151</v>
      </c>
      <c r="D55" s="335"/>
      <c r="E55" s="335">
        <f t="shared" si="3"/>
        <v>200.4760734929862</v>
      </c>
      <c r="F55" s="335">
        <f t="shared" si="26"/>
        <v>26.69911289202892</v>
      </c>
      <c r="G55" s="360">
        <f t="shared" si="4"/>
        <v>24030.429706266317</v>
      </c>
      <c r="H55" s="336" t="e">
        <f t="shared" si="5"/>
        <v>#VALUE!</v>
      </c>
      <c r="I55" s="333"/>
      <c r="J55" s="359">
        <f t="shared" si="6"/>
        <v>42582</v>
      </c>
      <c r="K55" s="334">
        <f t="shared" si="7"/>
        <v>43</v>
      </c>
      <c r="L55" s="335">
        <f t="shared" si="8"/>
        <v>227.1751863850151</v>
      </c>
      <c r="M55" s="335"/>
      <c r="N55" s="335">
        <f t="shared" si="9"/>
        <v>200.4760734929862</v>
      </c>
      <c r="O55" s="335">
        <f t="shared" si="27"/>
        <v>26.69911289202892</v>
      </c>
      <c r="P55" s="360">
        <f t="shared" si="10"/>
        <v>24030.429706266317</v>
      </c>
      <c r="R55" s="359">
        <f t="shared" si="11"/>
        <v>42582</v>
      </c>
      <c r="S55" s="334">
        <f t="shared" si="12"/>
        <v>43</v>
      </c>
      <c r="T55" s="335">
        <f t="shared" si="13"/>
        <v>227.1751863850151</v>
      </c>
      <c r="U55" s="335"/>
      <c r="V55" s="335">
        <f t="shared" si="14"/>
        <v>200.4760734929862</v>
      </c>
      <c r="W55" s="335">
        <f t="shared" si="28"/>
        <v>26.69911289202892</v>
      </c>
      <c r="X55" s="360">
        <f t="shared" si="15"/>
        <v>24030.429706266317</v>
      </c>
      <c r="Z55" s="359">
        <f t="shared" si="16"/>
        <v>42582</v>
      </c>
      <c r="AA55" s="334">
        <f t="shared" si="17"/>
        <v>43</v>
      </c>
      <c r="AB55" s="335">
        <f t="shared" si="18"/>
        <v>227.1751863850151</v>
      </c>
      <c r="AC55" s="335"/>
      <c r="AD55" s="335">
        <f t="shared" si="19"/>
        <v>200.4760734929862</v>
      </c>
      <c r="AE55" s="335">
        <f t="shared" si="29"/>
        <v>26.69911289202892</v>
      </c>
      <c r="AF55" s="360">
        <f t="shared" si="20"/>
        <v>24030.429706266317</v>
      </c>
      <c r="AH55" s="359">
        <f t="shared" si="21"/>
        <v>42582</v>
      </c>
      <c r="AI55" s="334">
        <f t="shared" si="22"/>
        <v>43</v>
      </c>
      <c r="AJ55" s="335">
        <f t="shared" si="23"/>
        <v>227.1751863850151</v>
      </c>
      <c r="AK55" s="335"/>
      <c r="AL55" s="335">
        <f t="shared" si="24"/>
        <v>200.4760734929862</v>
      </c>
      <c r="AM55" s="335">
        <f t="shared" si="30"/>
        <v>26.69911289202892</v>
      </c>
      <c r="AN55" s="360">
        <f t="shared" si="25"/>
        <v>24030.429706266317</v>
      </c>
    </row>
    <row r="56" spans="1:40" ht="12.75">
      <c r="A56" s="359">
        <f t="shared" si="0"/>
        <v>42613</v>
      </c>
      <c r="B56" s="334">
        <f t="shared" si="1"/>
        <v>44</v>
      </c>
      <c r="C56" s="335">
        <f t="shared" si="2"/>
        <v>227.1751863850151</v>
      </c>
      <c r="D56" s="335"/>
      <c r="E56" s="335">
        <f t="shared" si="3"/>
        <v>200.25358088555265</v>
      </c>
      <c r="F56" s="335">
        <f t="shared" si="26"/>
        <v>26.92160549946246</v>
      </c>
      <c r="G56" s="360">
        <f t="shared" si="4"/>
        <v>24003.508100766856</v>
      </c>
      <c r="H56" s="336" t="e">
        <f t="shared" si="5"/>
        <v>#VALUE!</v>
      </c>
      <c r="I56" s="333"/>
      <c r="J56" s="359">
        <f t="shared" si="6"/>
        <v>42613</v>
      </c>
      <c r="K56" s="334">
        <f t="shared" si="7"/>
        <v>44</v>
      </c>
      <c r="L56" s="335">
        <f t="shared" si="8"/>
        <v>227.1751863850151</v>
      </c>
      <c r="M56" s="335"/>
      <c r="N56" s="335">
        <f t="shared" si="9"/>
        <v>200.25358088555265</v>
      </c>
      <c r="O56" s="335">
        <f t="shared" si="27"/>
        <v>26.92160549946246</v>
      </c>
      <c r="P56" s="360">
        <f t="shared" si="10"/>
        <v>24003.508100766856</v>
      </c>
      <c r="R56" s="359">
        <f t="shared" si="11"/>
        <v>42613</v>
      </c>
      <c r="S56" s="334">
        <f t="shared" si="12"/>
        <v>44</v>
      </c>
      <c r="T56" s="335">
        <f t="shared" si="13"/>
        <v>227.1751863850151</v>
      </c>
      <c r="U56" s="335"/>
      <c r="V56" s="335">
        <f t="shared" si="14"/>
        <v>200.25358088555265</v>
      </c>
      <c r="W56" s="335">
        <f t="shared" si="28"/>
        <v>26.92160549946246</v>
      </c>
      <c r="X56" s="360">
        <f t="shared" si="15"/>
        <v>24003.508100766856</v>
      </c>
      <c r="Z56" s="359">
        <f t="shared" si="16"/>
        <v>42613</v>
      </c>
      <c r="AA56" s="334">
        <f t="shared" si="17"/>
        <v>44</v>
      </c>
      <c r="AB56" s="335">
        <f t="shared" si="18"/>
        <v>227.1751863850151</v>
      </c>
      <c r="AC56" s="335"/>
      <c r="AD56" s="335">
        <f t="shared" si="19"/>
        <v>200.25358088555265</v>
      </c>
      <c r="AE56" s="335">
        <f t="shared" si="29"/>
        <v>26.92160549946246</v>
      </c>
      <c r="AF56" s="360">
        <f t="shared" si="20"/>
        <v>24003.508100766856</v>
      </c>
      <c r="AH56" s="359">
        <f t="shared" si="21"/>
        <v>42613</v>
      </c>
      <c r="AI56" s="334">
        <f t="shared" si="22"/>
        <v>44</v>
      </c>
      <c r="AJ56" s="335">
        <f t="shared" si="23"/>
        <v>227.1751863850151</v>
      </c>
      <c r="AK56" s="335"/>
      <c r="AL56" s="335">
        <f t="shared" si="24"/>
        <v>200.25358088555265</v>
      </c>
      <c r="AM56" s="335">
        <f t="shared" si="30"/>
        <v>26.92160549946246</v>
      </c>
      <c r="AN56" s="360">
        <f t="shared" si="25"/>
        <v>24003.508100766856</v>
      </c>
    </row>
    <row r="57" spans="1:40" ht="12.75">
      <c r="A57" s="359">
        <f t="shared" si="0"/>
        <v>42643</v>
      </c>
      <c r="B57" s="334">
        <f t="shared" si="1"/>
        <v>45</v>
      </c>
      <c r="C57" s="335">
        <f t="shared" si="2"/>
        <v>227.1751863850151</v>
      </c>
      <c r="D57" s="335"/>
      <c r="E57" s="335">
        <f t="shared" si="3"/>
        <v>200.02923417305712</v>
      </c>
      <c r="F57" s="335">
        <f t="shared" si="26"/>
        <v>27.14595221195799</v>
      </c>
      <c r="G57" s="360">
        <f t="shared" si="4"/>
        <v>23976.362148554897</v>
      </c>
      <c r="H57" s="336" t="e">
        <f t="shared" si="5"/>
        <v>#VALUE!</v>
      </c>
      <c r="I57" s="333"/>
      <c r="J57" s="359">
        <f t="shared" si="6"/>
        <v>42643</v>
      </c>
      <c r="K57" s="334">
        <f t="shared" si="7"/>
        <v>45</v>
      </c>
      <c r="L57" s="335">
        <f t="shared" si="8"/>
        <v>227.1751863850151</v>
      </c>
      <c r="M57" s="335"/>
      <c r="N57" s="335">
        <f t="shared" si="9"/>
        <v>200.02923417305712</v>
      </c>
      <c r="O57" s="335">
        <f t="shared" si="27"/>
        <v>27.14595221195799</v>
      </c>
      <c r="P57" s="360">
        <f t="shared" si="10"/>
        <v>23976.362148554897</v>
      </c>
      <c r="R57" s="359">
        <f t="shared" si="11"/>
        <v>42643</v>
      </c>
      <c r="S57" s="334">
        <f t="shared" si="12"/>
        <v>45</v>
      </c>
      <c r="T57" s="335">
        <f t="shared" si="13"/>
        <v>227.1751863850151</v>
      </c>
      <c r="U57" s="335"/>
      <c r="V57" s="335">
        <f t="shared" si="14"/>
        <v>200.02923417305712</v>
      </c>
      <c r="W57" s="335">
        <f t="shared" si="28"/>
        <v>27.14595221195799</v>
      </c>
      <c r="X57" s="360">
        <f t="shared" si="15"/>
        <v>23976.362148554897</v>
      </c>
      <c r="Z57" s="359">
        <f t="shared" si="16"/>
        <v>42643</v>
      </c>
      <c r="AA57" s="334">
        <f t="shared" si="17"/>
        <v>45</v>
      </c>
      <c r="AB57" s="335">
        <f t="shared" si="18"/>
        <v>227.1751863850151</v>
      </c>
      <c r="AC57" s="335"/>
      <c r="AD57" s="335">
        <f t="shared" si="19"/>
        <v>200.02923417305712</v>
      </c>
      <c r="AE57" s="335">
        <f t="shared" si="29"/>
        <v>27.14595221195799</v>
      </c>
      <c r="AF57" s="360">
        <f t="shared" si="20"/>
        <v>23976.362148554897</v>
      </c>
      <c r="AH57" s="359">
        <f t="shared" si="21"/>
        <v>42643</v>
      </c>
      <c r="AI57" s="334">
        <f t="shared" si="22"/>
        <v>45</v>
      </c>
      <c r="AJ57" s="335">
        <f t="shared" si="23"/>
        <v>227.1751863850151</v>
      </c>
      <c r="AK57" s="335"/>
      <c r="AL57" s="335">
        <f t="shared" si="24"/>
        <v>200.02923417305712</v>
      </c>
      <c r="AM57" s="335">
        <f t="shared" si="30"/>
        <v>27.14595221195799</v>
      </c>
      <c r="AN57" s="360">
        <f t="shared" si="25"/>
        <v>23976.362148554897</v>
      </c>
    </row>
    <row r="58" spans="1:40" ht="12.75">
      <c r="A58" s="359">
        <f t="shared" si="0"/>
        <v>42674</v>
      </c>
      <c r="B58" s="334">
        <f t="shared" si="1"/>
        <v>46</v>
      </c>
      <c r="C58" s="335">
        <f t="shared" si="2"/>
        <v>227.1751863850151</v>
      </c>
      <c r="D58" s="335"/>
      <c r="E58" s="335">
        <f t="shared" si="3"/>
        <v>199.80301790462414</v>
      </c>
      <c r="F58" s="335">
        <f t="shared" si="26"/>
        <v>27.372168480390968</v>
      </c>
      <c r="G58" s="360">
        <f t="shared" si="4"/>
        <v>23948.989980074508</v>
      </c>
      <c r="H58" s="336" t="e">
        <f t="shared" si="5"/>
        <v>#VALUE!</v>
      </c>
      <c r="I58" s="333"/>
      <c r="J58" s="359">
        <f t="shared" si="6"/>
        <v>42674</v>
      </c>
      <c r="K58" s="334">
        <f t="shared" si="7"/>
        <v>46</v>
      </c>
      <c r="L58" s="335">
        <f t="shared" si="8"/>
        <v>227.1751863850151</v>
      </c>
      <c r="M58" s="335"/>
      <c r="N58" s="335">
        <f t="shared" si="9"/>
        <v>199.80301790462414</v>
      </c>
      <c r="O58" s="335">
        <f t="shared" si="27"/>
        <v>27.372168480390968</v>
      </c>
      <c r="P58" s="360">
        <f t="shared" si="10"/>
        <v>23948.989980074508</v>
      </c>
      <c r="R58" s="359">
        <f t="shared" si="11"/>
        <v>42674</v>
      </c>
      <c r="S58" s="334">
        <f t="shared" si="12"/>
        <v>46</v>
      </c>
      <c r="T58" s="335">
        <f t="shared" si="13"/>
        <v>227.1751863850151</v>
      </c>
      <c r="U58" s="335"/>
      <c r="V58" s="335">
        <f t="shared" si="14"/>
        <v>199.80301790462414</v>
      </c>
      <c r="W58" s="335">
        <f t="shared" si="28"/>
        <v>27.372168480390968</v>
      </c>
      <c r="X58" s="360">
        <f t="shared" si="15"/>
        <v>23948.989980074508</v>
      </c>
      <c r="Z58" s="359">
        <f t="shared" si="16"/>
        <v>42674</v>
      </c>
      <c r="AA58" s="334">
        <f t="shared" si="17"/>
        <v>46</v>
      </c>
      <c r="AB58" s="335">
        <f t="shared" si="18"/>
        <v>227.1751863850151</v>
      </c>
      <c r="AC58" s="335"/>
      <c r="AD58" s="335">
        <f t="shared" si="19"/>
        <v>199.80301790462414</v>
      </c>
      <c r="AE58" s="335">
        <f t="shared" si="29"/>
        <v>27.372168480390968</v>
      </c>
      <c r="AF58" s="360">
        <f t="shared" si="20"/>
        <v>23948.989980074508</v>
      </c>
      <c r="AH58" s="359">
        <f t="shared" si="21"/>
        <v>42674</v>
      </c>
      <c r="AI58" s="334">
        <f t="shared" si="22"/>
        <v>46</v>
      </c>
      <c r="AJ58" s="335">
        <f t="shared" si="23"/>
        <v>227.1751863850151</v>
      </c>
      <c r="AK58" s="335"/>
      <c r="AL58" s="335">
        <f t="shared" si="24"/>
        <v>199.80301790462414</v>
      </c>
      <c r="AM58" s="335">
        <f t="shared" si="30"/>
        <v>27.372168480390968</v>
      </c>
      <c r="AN58" s="360">
        <f t="shared" si="25"/>
        <v>23948.989980074508</v>
      </c>
    </row>
    <row r="59" spans="1:40" ht="12.75">
      <c r="A59" s="359">
        <f t="shared" si="0"/>
        <v>42704</v>
      </c>
      <c r="B59" s="334">
        <f t="shared" si="1"/>
        <v>47</v>
      </c>
      <c r="C59" s="335">
        <f t="shared" si="2"/>
        <v>227.1751863850151</v>
      </c>
      <c r="D59" s="335"/>
      <c r="E59" s="335">
        <f t="shared" si="3"/>
        <v>199.5749165006209</v>
      </c>
      <c r="F59" s="335">
        <f t="shared" si="26"/>
        <v>27.60026988439421</v>
      </c>
      <c r="G59" s="360">
        <f t="shared" si="4"/>
        <v>23921.389710190113</v>
      </c>
      <c r="H59" s="336" t="e">
        <f t="shared" si="5"/>
        <v>#VALUE!</v>
      </c>
      <c r="I59" s="333"/>
      <c r="J59" s="359">
        <f t="shared" si="6"/>
        <v>42704</v>
      </c>
      <c r="K59" s="334">
        <f t="shared" si="7"/>
        <v>47</v>
      </c>
      <c r="L59" s="335">
        <f t="shared" si="8"/>
        <v>227.1751863850151</v>
      </c>
      <c r="M59" s="335"/>
      <c r="N59" s="335">
        <f t="shared" si="9"/>
        <v>199.5749165006209</v>
      </c>
      <c r="O59" s="335">
        <f t="shared" si="27"/>
        <v>27.60026988439421</v>
      </c>
      <c r="P59" s="360">
        <f t="shared" si="10"/>
        <v>23921.389710190113</v>
      </c>
      <c r="R59" s="359">
        <f t="shared" si="11"/>
        <v>42704</v>
      </c>
      <c r="S59" s="334">
        <f t="shared" si="12"/>
        <v>47</v>
      </c>
      <c r="T59" s="335">
        <f t="shared" si="13"/>
        <v>227.1751863850151</v>
      </c>
      <c r="U59" s="335"/>
      <c r="V59" s="335">
        <f t="shared" si="14"/>
        <v>199.5749165006209</v>
      </c>
      <c r="W59" s="335">
        <f t="shared" si="28"/>
        <v>27.60026988439421</v>
      </c>
      <c r="X59" s="360">
        <f t="shared" si="15"/>
        <v>23921.389710190113</v>
      </c>
      <c r="Z59" s="359">
        <f t="shared" si="16"/>
        <v>42704</v>
      </c>
      <c r="AA59" s="334">
        <f t="shared" si="17"/>
        <v>47</v>
      </c>
      <c r="AB59" s="335">
        <f t="shared" si="18"/>
        <v>227.1751863850151</v>
      </c>
      <c r="AC59" s="335"/>
      <c r="AD59" s="335">
        <f t="shared" si="19"/>
        <v>199.5749165006209</v>
      </c>
      <c r="AE59" s="335">
        <f t="shared" si="29"/>
        <v>27.60026988439421</v>
      </c>
      <c r="AF59" s="360">
        <f t="shared" si="20"/>
        <v>23921.389710190113</v>
      </c>
      <c r="AH59" s="359">
        <f t="shared" si="21"/>
        <v>42704</v>
      </c>
      <c r="AI59" s="334">
        <f t="shared" si="22"/>
        <v>47</v>
      </c>
      <c r="AJ59" s="335">
        <f t="shared" si="23"/>
        <v>227.1751863850151</v>
      </c>
      <c r="AK59" s="335"/>
      <c r="AL59" s="335">
        <f t="shared" si="24"/>
        <v>199.5749165006209</v>
      </c>
      <c r="AM59" s="335">
        <f t="shared" si="30"/>
        <v>27.60026988439421</v>
      </c>
      <c r="AN59" s="360">
        <f t="shared" si="25"/>
        <v>23921.389710190113</v>
      </c>
    </row>
    <row r="60" spans="1:40" ht="12.75">
      <c r="A60" s="359">
        <f t="shared" si="0"/>
        <v>42735</v>
      </c>
      <c r="B60" s="334">
        <f t="shared" si="1"/>
        <v>48</v>
      </c>
      <c r="C60" s="335">
        <f t="shared" si="2"/>
        <v>227.1751863850151</v>
      </c>
      <c r="D60" s="335"/>
      <c r="E60" s="335">
        <f t="shared" si="3"/>
        <v>199.34491425158427</v>
      </c>
      <c r="F60" s="335">
        <f t="shared" si="26"/>
        <v>27.83027213343084</v>
      </c>
      <c r="G60" s="360">
        <f t="shared" si="4"/>
        <v>23893.559438056684</v>
      </c>
      <c r="H60" s="336" t="e">
        <f t="shared" si="5"/>
        <v>#VALUE!</v>
      </c>
      <c r="I60" s="333"/>
      <c r="J60" s="359">
        <f t="shared" si="6"/>
        <v>42735</v>
      </c>
      <c r="K60" s="334">
        <f t="shared" si="7"/>
        <v>48</v>
      </c>
      <c r="L60" s="335">
        <f t="shared" si="8"/>
        <v>227.1751863850151</v>
      </c>
      <c r="M60" s="335"/>
      <c r="N60" s="335">
        <f t="shared" si="9"/>
        <v>199.34491425158427</v>
      </c>
      <c r="O60" s="335">
        <f t="shared" si="27"/>
        <v>27.83027213343084</v>
      </c>
      <c r="P60" s="360">
        <f t="shared" si="10"/>
        <v>23893.559438056684</v>
      </c>
      <c r="R60" s="359">
        <f t="shared" si="11"/>
        <v>42735</v>
      </c>
      <c r="S60" s="334">
        <f t="shared" si="12"/>
        <v>48</v>
      </c>
      <c r="T60" s="335">
        <f t="shared" si="13"/>
        <v>227.1751863850151</v>
      </c>
      <c r="U60" s="335"/>
      <c r="V60" s="335">
        <f t="shared" si="14"/>
        <v>199.34491425158427</v>
      </c>
      <c r="W60" s="335">
        <f t="shared" si="28"/>
        <v>27.83027213343084</v>
      </c>
      <c r="X60" s="360">
        <f t="shared" si="15"/>
        <v>23893.559438056684</v>
      </c>
      <c r="Z60" s="359">
        <f t="shared" si="16"/>
        <v>42735</v>
      </c>
      <c r="AA60" s="334">
        <f t="shared" si="17"/>
        <v>48</v>
      </c>
      <c r="AB60" s="335">
        <f t="shared" si="18"/>
        <v>227.1751863850151</v>
      </c>
      <c r="AC60" s="335"/>
      <c r="AD60" s="335">
        <f t="shared" si="19"/>
        <v>199.34491425158427</v>
      </c>
      <c r="AE60" s="335">
        <f t="shared" si="29"/>
        <v>27.83027213343084</v>
      </c>
      <c r="AF60" s="360">
        <f t="shared" si="20"/>
        <v>23893.559438056684</v>
      </c>
      <c r="AH60" s="359">
        <f t="shared" si="21"/>
        <v>42735</v>
      </c>
      <c r="AI60" s="334">
        <f t="shared" si="22"/>
        <v>48</v>
      </c>
      <c r="AJ60" s="335">
        <f t="shared" si="23"/>
        <v>227.1751863850151</v>
      </c>
      <c r="AK60" s="335"/>
      <c r="AL60" s="335">
        <f t="shared" si="24"/>
        <v>199.34491425158427</v>
      </c>
      <c r="AM60" s="335">
        <f t="shared" si="30"/>
        <v>27.83027213343084</v>
      </c>
      <c r="AN60" s="360">
        <f t="shared" si="25"/>
        <v>23893.559438056684</v>
      </c>
    </row>
    <row r="61" spans="1:40" ht="12.75">
      <c r="A61" s="359">
        <f t="shared" si="0"/>
        <v>42766</v>
      </c>
      <c r="B61" s="334">
        <f t="shared" si="1"/>
        <v>49</v>
      </c>
      <c r="C61" s="335">
        <f t="shared" si="2"/>
        <v>227.1751863850151</v>
      </c>
      <c r="D61" s="335"/>
      <c r="E61" s="335">
        <f t="shared" si="3"/>
        <v>199.11299531713902</v>
      </c>
      <c r="F61" s="335">
        <f t="shared" si="26"/>
        <v>28.062191067876086</v>
      </c>
      <c r="G61" s="360">
        <f t="shared" si="4"/>
        <v>23865.49724698881</v>
      </c>
      <c r="H61" s="336" t="e">
        <f t="shared" si="5"/>
        <v>#VALUE!</v>
      </c>
      <c r="I61" s="333"/>
      <c r="J61" s="359">
        <f t="shared" si="6"/>
        <v>42766</v>
      </c>
      <c r="K61" s="334">
        <f t="shared" si="7"/>
        <v>49</v>
      </c>
      <c r="L61" s="335">
        <f t="shared" si="8"/>
        <v>227.1751863850151</v>
      </c>
      <c r="M61" s="335"/>
      <c r="N61" s="335">
        <f t="shared" si="9"/>
        <v>199.11299531713902</v>
      </c>
      <c r="O61" s="335">
        <f t="shared" si="27"/>
        <v>28.062191067876086</v>
      </c>
      <c r="P61" s="360">
        <f t="shared" si="10"/>
        <v>23865.49724698881</v>
      </c>
      <c r="R61" s="359">
        <f t="shared" si="11"/>
        <v>42766</v>
      </c>
      <c r="S61" s="334">
        <f t="shared" si="12"/>
        <v>49</v>
      </c>
      <c r="T61" s="335">
        <f t="shared" si="13"/>
        <v>227.1751863850151</v>
      </c>
      <c r="U61" s="335"/>
      <c r="V61" s="335">
        <f t="shared" si="14"/>
        <v>199.11299531713902</v>
      </c>
      <c r="W61" s="335">
        <f t="shared" si="28"/>
        <v>28.062191067876086</v>
      </c>
      <c r="X61" s="360">
        <f t="shared" si="15"/>
        <v>23865.49724698881</v>
      </c>
      <c r="Z61" s="359">
        <f t="shared" si="16"/>
        <v>42766</v>
      </c>
      <c r="AA61" s="334">
        <f t="shared" si="17"/>
        <v>49</v>
      </c>
      <c r="AB61" s="335">
        <f t="shared" si="18"/>
        <v>227.1751863850151</v>
      </c>
      <c r="AC61" s="335"/>
      <c r="AD61" s="335">
        <f t="shared" si="19"/>
        <v>199.11299531713902</v>
      </c>
      <c r="AE61" s="335">
        <f t="shared" si="29"/>
        <v>28.062191067876086</v>
      </c>
      <c r="AF61" s="360">
        <f t="shared" si="20"/>
        <v>23865.49724698881</v>
      </c>
      <c r="AH61" s="359">
        <f t="shared" si="21"/>
        <v>42766</v>
      </c>
      <c r="AI61" s="334">
        <f t="shared" si="22"/>
        <v>49</v>
      </c>
      <c r="AJ61" s="335">
        <f t="shared" si="23"/>
        <v>227.1751863850151</v>
      </c>
      <c r="AK61" s="335"/>
      <c r="AL61" s="335">
        <f t="shared" si="24"/>
        <v>199.11299531713902</v>
      </c>
      <c r="AM61" s="335">
        <f t="shared" si="30"/>
        <v>28.062191067876086</v>
      </c>
      <c r="AN61" s="360">
        <f t="shared" si="25"/>
        <v>23865.49724698881</v>
      </c>
    </row>
    <row r="62" spans="1:40" ht="12.75">
      <c r="A62" s="359">
        <f t="shared" si="0"/>
        <v>42794</v>
      </c>
      <c r="B62" s="334">
        <f t="shared" si="1"/>
        <v>50</v>
      </c>
      <c r="C62" s="335">
        <f t="shared" si="2"/>
        <v>227.1751863850151</v>
      </c>
      <c r="D62" s="335"/>
      <c r="E62" s="335">
        <f t="shared" si="3"/>
        <v>198.87914372490673</v>
      </c>
      <c r="F62" s="335">
        <f t="shared" si="26"/>
        <v>28.296042660108384</v>
      </c>
      <c r="G62" s="360">
        <f t="shared" si="4"/>
        <v>23837.2012043287</v>
      </c>
      <c r="H62" s="336" t="e">
        <f t="shared" si="5"/>
        <v>#VALUE!</v>
      </c>
      <c r="I62" s="333"/>
      <c r="J62" s="359">
        <f t="shared" si="6"/>
        <v>42794</v>
      </c>
      <c r="K62" s="334">
        <f t="shared" si="7"/>
        <v>50</v>
      </c>
      <c r="L62" s="335">
        <f t="shared" si="8"/>
        <v>227.1751863850151</v>
      </c>
      <c r="M62" s="335"/>
      <c r="N62" s="335">
        <f t="shared" si="9"/>
        <v>198.87914372490673</v>
      </c>
      <c r="O62" s="335">
        <f t="shared" si="27"/>
        <v>28.296042660108384</v>
      </c>
      <c r="P62" s="360">
        <f t="shared" si="10"/>
        <v>23837.2012043287</v>
      </c>
      <c r="R62" s="359">
        <f t="shared" si="11"/>
        <v>42794</v>
      </c>
      <c r="S62" s="334">
        <f t="shared" si="12"/>
        <v>50</v>
      </c>
      <c r="T62" s="335">
        <f t="shared" si="13"/>
        <v>227.1751863850151</v>
      </c>
      <c r="U62" s="335"/>
      <c r="V62" s="335">
        <f t="shared" si="14"/>
        <v>198.87914372490673</v>
      </c>
      <c r="W62" s="335">
        <f t="shared" si="28"/>
        <v>28.296042660108384</v>
      </c>
      <c r="X62" s="360">
        <f t="shared" si="15"/>
        <v>23837.2012043287</v>
      </c>
      <c r="Z62" s="359">
        <f t="shared" si="16"/>
        <v>42794</v>
      </c>
      <c r="AA62" s="334">
        <f t="shared" si="17"/>
        <v>50</v>
      </c>
      <c r="AB62" s="335">
        <f t="shared" si="18"/>
        <v>227.1751863850151</v>
      </c>
      <c r="AC62" s="335"/>
      <c r="AD62" s="335">
        <f t="shared" si="19"/>
        <v>198.87914372490673</v>
      </c>
      <c r="AE62" s="335">
        <f t="shared" si="29"/>
        <v>28.296042660108384</v>
      </c>
      <c r="AF62" s="360">
        <f t="shared" si="20"/>
        <v>23837.2012043287</v>
      </c>
      <c r="AH62" s="359">
        <f t="shared" si="21"/>
        <v>42794</v>
      </c>
      <c r="AI62" s="334">
        <f t="shared" si="22"/>
        <v>50</v>
      </c>
      <c r="AJ62" s="335">
        <f t="shared" si="23"/>
        <v>227.1751863850151</v>
      </c>
      <c r="AK62" s="335"/>
      <c r="AL62" s="335">
        <f t="shared" si="24"/>
        <v>198.87914372490673</v>
      </c>
      <c r="AM62" s="335">
        <f t="shared" si="30"/>
        <v>28.296042660108384</v>
      </c>
      <c r="AN62" s="360">
        <f t="shared" si="25"/>
        <v>23837.2012043287</v>
      </c>
    </row>
    <row r="63" spans="1:40" ht="12.75">
      <c r="A63" s="359">
        <f t="shared" si="0"/>
        <v>42825</v>
      </c>
      <c r="B63" s="334">
        <f t="shared" si="1"/>
        <v>51</v>
      </c>
      <c r="C63" s="335">
        <f t="shared" si="2"/>
        <v>227.1751863850151</v>
      </c>
      <c r="D63" s="335"/>
      <c r="E63" s="335">
        <f t="shared" si="3"/>
        <v>198.64334336940584</v>
      </c>
      <c r="F63" s="335">
        <f t="shared" si="26"/>
        <v>28.53184301560927</v>
      </c>
      <c r="G63" s="360">
        <f t="shared" si="4"/>
        <v>23808.669361313092</v>
      </c>
      <c r="H63" s="336" t="e">
        <f t="shared" si="5"/>
        <v>#VALUE!</v>
      </c>
      <c r="I63" s="333"/>
      <c r="J63" s="359">
        <f t="shared" si="6"/>
        <v>42825</v>
      </c>
      <c r="K63" s="334">
        <f t="shared" si="7"/>
        <v>51</v>
      </c>
      <c r="L63" s="335">
        <f t="shared" si="8"/>
        <v>227.1751863850151</v>
      </c>
      <c r="M63" s="335"/>
      <c r="N63" s="335">
        <f t="shared" si="9"/>
        <v>198.64334336940584</v>
      </c>
      <c r="O63" s="335">
        <f t="shared" si="27"/>
        <v>28.53184301560927</v>
      </c>
      <c r="P63" s="360">
        <f t="shared" si="10"/>
        <v>23808.669361313092</v>
      </c>
      <c r="R63" s="359">
        <f t="shared" si="11"/>
        <v>42825</v>
      </c>
      <c r="S63" s="334">
        <f t="shared" si="12"/>
        <v>51</v>
      </c>
      <c r="T63" s="335">
        <f t="shared" si="13"/>
        <v>227.1751863850151</v>
      </c>
      <c r="U63" s="335"/>
      <c r="V63" s="335">
        <f t="shared" si="14"/>
        <v>198.64334336940584</v>
      </c>
      <c r="W63" s="335">
        <f t="shared" si="28"/>
        <v>28.53184301560927</v>
      </c>
      <c r="X63" s="360">
        <f t="shared" si="15"/>
        <v>23808.669361313092</v>
      </c>
      <c r="Z63" s="359">
        <f t="shared" si="16"/>
        <v>42825</v>
      </c>
      <c r="AA63" s="334">
        <f t="shared" si="17"/>
        <v>51</v>
      </c>
      <c r="AB63" s="335">
        <f t="shared" si="18"/>
        <v>227.1751863850151</v>
      </c>
      <c r="AC63" s="335"/>
      <c r="AD63" s="335">
        <f t="shared" si="19"/>
        <v>198.64334336940584</v>
      </c>
      <c r="AE63" s="335">
        <f t="shared" si="29"/>
        <v>28.53184301560927</v>
      </c>
      <c r="AF63" s="360">
        <f t="shared" si="20"/>
        <v>23808.669361313092</v>
      </c>
      <c r="AH63" s="359">
        <f t="shared" si="21"/>
        <v>42825</v>
      </c>
      <c r="AI63" s="334">
        <f t="shared" si="22"/>
        <v>51</v>
      </c>
      <c r="AJ63" s="335">
        <f t="shared" si="23"/>
        <v>227.1751863850151</v>
      </c>
      <c r="AK63" s="335"/>
      <c r="AL63" s="335">
        <f t="shared" si="24"/>
        <v>198.64334336940584</v>
      </c>
      <c r="AM63" s="335">
        <f t="shared" si="30"/>
        <v>28.53184301560927</v>
      </c>
      <c r="AN63" s="360">
        <f t="shared" si="25"/>
        <v>23808.669361313092</v>
      </c>
    </row>
    <row r="64" spans="1:40" ht="12.75">
      <c r="A64" s="359">
        <f t="shared" si="0"/>
        <v>42855</v>
      </c>
      <c r="B64" s="334">
        <f t="shared" si="1"/>
        <v>52</v>
      </c>
      <c r="C64" s="335">
        <f t="shared" si="2"/>
        <v>227.1751863850151</v>
      </c>
      <c r="D64" s="335"/>
      <c r="E64" s="335">
        <f t="shared" si="3"/>
        <v>198.40557801094243</v>
      </c>
      <c r="F64" s="335">
        <f t="shared" si="26"/>
        <v>28.769608374072675</v>
      </c>
      <c r="G64" s="360">
        <f t="shared" si="4"/>
        <v>23779.899752939018</v>
      </c>
      <c r="H64" s="336" t="e">
        <f t="shared" si="5"/>
        <v>#VALUE!</v>
      </c>
      <c r="I64" s="333"/>
      <c r="J64" s="359">
        <f t="shared" si="6"/>
        <v>42855</v>
      </c>
      <c r="K64" s="334">
        <f t="shared" si="7"/>
        <v>52</v>
      </c>
      <c r="L64" s="335">
        <f t="shared" si="8"/>
        <v>227.1751863850151</v>
      </c>
      <c r="M64" s="335"/>
      <c r="N64" s="335">
        <f t="shared" si="9"/>
        <v>198.40557801094243</v>
      </c>
      <c r="O64" s="335">
        <f t="shared" si="27"/>
        <v>28.769608374072675</v>
      </c>
      <c r="P64" s="360">
        <f t="shared" si="10"/>
        <v>23779.899752939018</v>
      </c>
      <c r="R64" s="359">
        <f t="shared" si="11"/>
        <v>42855</v>
      </c>
      <c r="S64" s="334">
        <f t="shared" si="12"/>
        <v>52</v>
      </c>
      <c r="T64" s="335">
        <f t="shared" si="13"/>
        <v>227.1751863850151</v>
      </c>
      <c r="U64" s="335"/>
      <c r="V64" s="335">
        <f t="shared" si="14"/>
        <v>198.40557801094243</v>
      </c>
      <c r="W64" s="335">
        <f t="shared" si="28"/>
        <v>28.769608374072675</v>
      </c>
      <c r="X64" s="360">
        <f t="shared" si="15"/>
        <v>23779.899752939018</v>
      </c>
      <c r="Z64" s="359">
        <f t="shared" si="16"/>
        <v>42855</v>
      </c>
      <c r="AA64" s="334">
        <f t="shared" si="17"/>
        <v>52</v>
      </c>
      <c r="AB64" s="335">
        <f t="shared" si="18"/>
        <v>227.1751863850151</v>
      </c>
      <c r="AC64" s="335"/>
      <c r="AD64" s="335">
        <f t="shared" si="19"/>
        <v>198.40557801094243</v>
      </c>
      <c r="AE64" s="335">
        <f t="shared" si="29"/>
        <v>28.769608374072675</v>
      </c>
      <c r="AF64" s="360">
        <f t="shared" si="20"/>
        <v>23779.899752939018</v>
      </c>
      <c r="AH64" s="359">
        <f t="shared" si="21"/>
        <v>42855</v>
      </c>
      <c r="AI64" s="334">
        <f t="shared" si="22"/>
        <v>52</v>
      </c>
      <c r="AJ64" s="335">
        <f t="shared" si="23"/>
        <v>227.1751863850151</v>
      </c>
      <c r="AK64" s="335"/>
      <c r="AL64" s="335">
        <f t="shared" si="24"/>
        <v>198.40557801094243</v>
      </c>
      <c r="AM64" s="335">
        <f t="shared" si="30"/>
        <v>28.769608374072675</v>
      </c>
      <c r="AN64" s="360">
        <f t="shared" si="25"/>
        <v>23779.899752939018</v>
      </c>
    </row>
    <row r="65" spans="1:40" ht="12.75">
      <c r="A65" s="359">
        <f t="shared" si="0"/>
        <v>42886</v>
      </c>
      <c r="B65" s="334">
        <f t="shared" si="1"/>
        <v>53</v>
      </c>
      <c r="C65" s="335">
        <f t="shared" si="2"/>
        <v>227.1751863850151</v>
      </c>
      <c r="D65" s="335"/>
      <c r="E65" s="335">
        <f t="shared" si="3"/>
        <v>198.1658312744918</v>
      </c>
      <c r="F65" s="335">
        <f t="shared" si="26"/>
        <v>29.009355110523302</v>
      </c>
      <c r="G65" s="360">
        <f t="shared" si="4"/>
        <v>23750.890397828494</v>
      </c>
      <c r="H65" s="336" t="e">
        <f t="shared" si="5"/>
        <v>#VALUE!</v>
      </c>
      <c r="I65" s="333"/>
      <c r="J65" s="359">
        <f t="shared" si="6"/>
        <v>42886</v>
      </c>
      <c r="K65" s="334">
        <f t="shared" si="7"/>
        <v>53</v>
      </c>
      <c r="L65" s="335">
        <f t="shared" si="8"/>
        <v>227.1751863850151</v>
      </c>
      <c r="M65" s="335"/>
      <c r="N65" s="335">
        <f t="shared" si="9"/>
        <v>198.1658312744918</v>
      </c>
      <c r="O65" s="335">
        <f t="shared" si="27"/>
        <v>29.009355110523302</v>
      </c>
      <c r="P65" s="360">
        <f t="shared" si="10"/>
        <v>23750.890397828494</v>
      </c>
      <c r="R65" s="359">
        <f t="shared" si="11"/>
        <v>42886</v>
      </c>
      <c r="S65" s="334">
        <f t="shared" si="12"/>
        <v>53</v>
      </c>
      <c r="T65" s="335">
        <f t="shared" si="13"/>
        <v>227.1751863850151</v>
      </c>
      <c r="U65" s="335"/>
      <c r="V65" s="335">
        <f t="shared" si="14"/>
        <v>198.1658312744918</v>
      </c>
      <c r="W65" s="335">
        <f t="shared" si="28"/>
        <v>29.009355110523302</v>
      </c>
      <c r="X65" s="360">
        <f t="shared" si="15"/>
        <v>23750.890397828494</v>
      </c>
      <c r="Z65" s="359">
        <f t="shared" si="16"/>
        <v>42886</v>
      </c>
      <c r="AA65" s="334">
        <f t="shared" si="17"/>
        <v>53</v>
      </c>
      <c r="AB65" s="335">
        <f t="shared" si="18"/>
        <v>227.1751863850151</v>
      </c>
      <c r="AC65" s="335"/>
      <c r="AD65" s="335">
        <f t="shared" si="19"/>
        <v>198.1658312744918</v>
      </c>
      <c r="AE65" s="335">
        <f t="shared" si="29"/>
        <v>29.009355110523302</v>
      </c>
      <c r="AF65" s="360">
        <f t="shared" si="20"/>
        <v>23750.890397828494</v>
      </c>
      <c r="AH65" s="359">
        <f t="shared" si="21"/>
        <v>42886</v>
      </c>
      <c r="AI65" s="334">
        <f t="shared" si="22"/>
        <v>53</v>
      </c>
      <c r="AJ65" s="335">
        <f t="shared" si="23"/>
        <v>227.1751863850151</v>
      </c>
      <c r="AK65" s="335"/>
      <c r="AL65" s="335">
        <f t="shared" si="24"/>
        <v>198.1658312744918</v>
      </c>
      <c r="AM65" s="335">
        <f t="shared" si="30"/>
        <v>29.009355110523302</v>
      </c>
      <c r="AN65" s="360">
        <f t="shared" si="25"/>
        <v>23750.890397828494</v>
      </c>
    </row>
    <row r="66" spans="1:40" ht="12.75">
      <c r="A66" s="359">
        <f t="shared" si="0"/>
        <v>42916</v>
      </c>
      <c r="B66" s="334">
        <f t="shared" si="1"/>
        <v>54</v>
      </c>
      <c r="C66" s="335">
        <f t="shared" si="2"/>
        <v>227.1751863850151</v>
      </c>
      <c r="D66" s="335"/>
      <c r="E66" s="335">
        <f t="shared" si="3"/>
        <v>197.92408664857078</v>
      </c>
      <c r="F66" s="335">
        <f t="shared" si="26"/>
        <v>29.25109973644433</v>
      </c>
      <c r="G66" s="360">
        <f t="shared" si="4"/>
        <v>23721.63929809205</v>
      </c>
      <c r="H66" s="336" t="e">
        <f t="shared" si="5"/>
        <v>#VALUE!</v>
      </c>
      <c r="I66" s="333"/>
      <c r="J66" s="359">
        <f t="shared" si="6"/>
        <v>42916</v>
      </c>
      <c r="K66" s="334">
        <f t="shared" si="7"/>
        <v>54</v>
      </c>
      <c r="L66" s="335">
        <f t="shared" si="8"/>
        <v>227.1751863850151</v>
      </c>
      <c r="M66" s="335"/>
      <c r="N66" s="335">
        <f t="shared" si="9"/>
        <v>197.92408664857078</v>
      </c>
      <c r="O66" s="335">
        <f t="shared" si="27"/>
        <v>29.25109973644433</v>
      </c>
      <c r="P66" s="360">
        <f t="shared" si="10"/>
        <v>23721.63929809205</v>
      </c>
      <c r="R66" s="359">
        <f t="shared" si="11"/>
        <v>42916</v>
      </c>
      <c r="S66" s="334">
        <f t="shared" si="12"/>
        <v>54</v>
      </c>
      <c r="T66" s="335">
        <f t="shared" si="13"/>
        <v>227.1751863850151</v>
      </c>
      <c r="U66" s="335"/>
      <c r="V66" s="335">
        <f t="shared" si="14"/>
        <v>197.92408664857078</v>
      </c>
      <c r="W66" s="335">
        <f t="shared" si="28"/>
        <v>29.25109973644433</v>
      </c>
      <c r="X66" s="360">
        <f t="shared" si="15"/>
        <v>23721.63929809205</v>
      </c>
      <c r="Z66" s="359">
        <f t="shared" si="16"/>
        <v>42916</v>
      </c>
      <c r="AA66" s="334">
        <f t="shared" si="17"/>
        <v>54</v>
      </c>
      <c r="AB66" s="335">
        <f t="shared" si="18"/>
        <v>227.1751863850151</v>
      </c>
      <c r="AC66" s="335"/>
      <c r="AD66" s="335">
        <f t="shared" si="19"/>
        <v>197.92408664857078</v>
      </c>
      <c r="AE66" s="335">
        <f t="shared" si="29"/>
        <v>29.25109973644433</v>
      </c>
      <c r="AF66" s="360">
        <f t="shared" si="20"/>
        <v>23721.63929809205</v>
      </c>
      <c r="AH66" s="359">
        <f t="shared" si="21"/>
        <v>42916</v>
      </c>
      <c r="AI66" s="334">
        <f t="shared" si="22"/>
        <v>54</v>
      </c>
      <c r="AJ66" s="335">
        <f t="shared" si="23"/>
        <v>227.1751863850151</v>
      </c>
      <c r="AK66" s="335"/>
      <c r="AL66" s="335">
        <f t="shared" si="24"/>
        <v>197.92408664857078</v>
      </c>
      <c r="AM66" s="335">
        <f t="shared" si="30"/>
        <v>29.25109973644433</v>
      </c>
      <c r="AN66" s="360">
        <f t="shared" si="25"/>
        <v>23721.63929809205</v>
      </c>
    </row>
    <row r="67" spans="1:40" ht="12.75">
      <c r="A67" s="359">
        <f t="shared" si="0"/>
        <v>42947</v>
      </c>
      <c r="B67" s="334">
        <f t="shared" si="1"/>
        <v>55</v>
      </c>
      <c r="C67" s="335">
        <f t="shared" si="2"/>
        <v>227.1751863850151</v>
      </c>
      <c r="D67" s="335"/>
      <c r="E67" s="335">
        <f t="shared" si="3"/>
        <v>197.68032748410042</v>
      </c>
      <c r="F67" s="335">
        <f t="shared" si="26"/>
        <v>29.494858900914693</v>
      </c>
      <c r="G67" s="360">
        <f t="shared" si="4"/>
        <v>23692.144439191135</v>
      </c>
      <c r="H67" s="336" t="e">
        <f t="shared" si="5"/>
        <v>#VALUE!</v>
      </c>
      <c r="I67" s="333"/>
      <c r="J67" s="359">
        <f t="shared" si="6"/>
        <v>42947</v>
      </c>
      <c r="K67" s="334">
        <f t="shared" si="7"/>
        <v>55</v>
      </c>
      <c r="L67" s="335">
        <f t="shared" si="8"/>
        <v>227.1751863850151</v>
      </c>
      <c r="M67" s="335"/>
      <c r="N67" s="335">
        <f t="shared" si="9"/>
        <v>197.68032748410042</v>
      </c>
      <c r="O67" s="335">
        <f t="shared" si="27"/>
        <v>29.494858900914693</v>
      </c>
      <c r="P67" s="360">
        <f t="shared" si="10"/>
        <v>23692.144439191135</v>
      </c>
      <c r="R67" s="359">
        <f t="shared" si="11"/>
        <v>42947</v>
      </c>
      <c r="S67" s="334">
        <f t="shared" si="12"/>
        <v>55</v>
      </c>
      <c r="T67" s="335">
        <f t="shared" si="13"/>
        <v>227.1751863850151</v>
      </c>
      <c r="U67" s="335"/>
      <c r="V67" s="335">
        <f t="shared" si="14"/>
        <v>197.68032748410042</v>
      </c>
      <c r="W67" s="335">
        <f t="shared" si="28"/>
        <v>29.494858900914693</v>
      </c>
      <c r="X67" s="360">
        <f t="shared" si="15"/>
        <v>23692.144439191135</v>
      </c>
      <c r="Z67" s="359">
        <f t="shared" si="16"/>
        <v>42947</v>
      </c>
      <c r="AA67" s="334">
        <f t="shared" si="17"/>
        <v>55</v>
      </c>
      <c r="AB67" s="335">
        <f t="shared" si="18"/>
        <v>227.1751863850151</v>
      </c>
      <c r="AC67" s="335"/>
      <c r="AD67" s="335">
        <f t="shared" si="19"/>
        <v>197.68032748410042</v>
      </c>
      <c r="AE67" s="335">
        <f t="shared" si="29"/>
        <v>29.494858900914693</v>
      </c>
      <c r="AF67" s="360">
        <f t="shared" si="20"/>
        <v>23692.144439191135</v>
      </c>
      <c r="AH67" s="359">
        <f t="shared" si="21"/>
        <v>42947</v>
      </c>
      <c r="AI67" s="334">
        <f t="shared" si="22"/>
        <v>55</v>
      </c>
      <c r="AJ67" s="335">
        <f t="shared" si="23"/>
        <v>227.1751863850151</v>
      </c>
      <c r="AK67" s="335"/>
      <c r="AL67" s="335">
        <f t="shared" si="24"/>
        <v>197.68032748410042</v>
      </c>
      <c r="AM67" s="335">
        <f t="shared" si="30"/>
        <v>29.494858900914693</v>
      </c>
      <c r="AN67" s="360">
        <f t="shared" si="25"/>
        <v>23692.144439191135</v>
      </c>
    </row>
    <row r="68" spans="1:40" ht="12.75">
      <c r="A68" s="359">
        <f t="shared" si="0"/>
        <v>42978</v>
      </c>
      <c r="B68" s="334">
        <f t="shared" si="1"/>
        <v>56</v>
      </c>
      <c r="C68" s="335">
        <f t="shared" si="2"/>
        <v>227.1751863850151</v>
      </c>
      <c r="D68" s="335"/>
      <c r="E68" s="335">
        <f t="shared" si="3"/>
        <v>197.43453699325946</v>
      </c>
      <c r="F68" s="335">
        <f t="shared" si="26"/>
        <v>29.740649391755653</v>
      </c>
      <c r="G68" s="360">
        <f t="shared" si="4"/>
        <v>23662.40378979938</v>
      </c>
      <c r="H68" s="336" t="e">
        <f t="shared" si="5"/>
        <v>#VALUE!</v>
      </c>
      <c r="I68" s="333"/>
      <c r="J68" s="359">
        <f t="shared" si="6"/>
        <v>42978</v>
      </c>
      <c r="K68" s="334">
        <f t="shared" si="7"/>
        <v>56</v>
      </c>
      <c r="L68" s="335">
        <f t="shared" si="8"/>
        <v>227.1751863850151</v>
      </c>
      <c r="M68" s="335"/>
      <c r="N68" s="335">
        <f t="shared" si="9"/>
        <v>197.43453699325946</v>
      </c>
      <c r="O68" s="335">
        <f t="shared" si="27"/>
        <v>29.740649391755653</v>
      </c>
      <c r="P68" s="360">
        <f t="shared" si="10"/>
        <v>23662.40378979938</v>
      </c>
      <c r="R68" s="359">
        <f t="shared" si="11"/>
        <v>42978</v>
      </c>
      <c r="S68" s="334">
        <f t="shared" si="12"/>
        <v>56</v>
      </c>
      <c r="T68" s="335">
        <f t="shared" si="13"/>
        <v>227.1751863850151</v>
      </c>
      <c r="U68" s="335"/>
      <c r="V68" s="335">
        <f t="shared" si="14"/>
        <v>197.43453699325946</v>
      </c>
      <c r="W68" s="335">
        <f t="shared" si="28"/>
        <v>29.740649391755653</v>
      </c>
      <c r="X68" s="360">
        <f t="shared" si="15"/>
        <v>23662.40378979938</v>
      </c>
      <c r="Z68" s="359">
        <f t="shared" si="16"/>
        <v>42978</v>
      </c>
      <c r="AA68" s="334">
        <f t="shared" si="17"/>
        <v>56</v>
      </c>
      <c r="AB68" s="335">
        <f t="shared" si="18"/>
        <v>227.1751863850151</v>
      </c>
      <c r="AC68" s="335"/>
      <c r="AD68" s="335">
        <f t="shared" si="19"/>
        <v>197.43453699325946</v>
      </c>
      <c r="AE68" s="335">
        <f t="shared" si="29"/>
        <v>29.740649391755653</v>
      </c>
      <c r="AF68" s="360">
        <f t="shared" si="20"/>
        <v>23662.40378979938</v>
      </c>
      <c r="AH68" s="359">
        <f t="shared" si="21"/>
        <v>42978</v>
      </c>
      <c r="AI68" s="334">
        <f t="shared" si="22"/>
        <v>56</v>
      </c>
      <c r="AJ68" s="335">
        <f t="shared" si="23"/>
        <v>227.1751863850151</v>
      </c>
      <c r="AK68" s="335"/>
      <c r="AL68" s="335">
        <f t="shared" si="24"/>
        <v>197.43453699325946</v>
      </c>
      <c r="AM68" s="335">
        <f t="shared" si="30"/>
        <v>29.740649391755653</v>
      </c>
      <c r="AN68" s="360">
        <f t="shared" si="25"/>
        <v>23662.40378979938</v>
      </c>
    </row>
    <row r="69" spans="1:40" ht="12.75">
      <c r="A69" s="359">
        <f t="shared" si="0"/>
        <v>43008</v>
      </c>
      <c r="B69" s="334">
        <f t="shared" si="1"/>
        <v>57</v>
      </c>
      <c r="C69" s="335">
        <f t="shared" si="2"/>
        <v>227.1751863850151</v>
      </c>
      <c r="D69" s="335"/>
      <c r="E69" s="335">
        <f t="shared" si="3"/>
        <v>197.18669824832816</v>
      </c>
      <c r="F69" s="335">
        <f t="shared" si="26"/>
        <v>29.988488136686954</v>
      </c>
      <c r="G69" s="360">
        <f t="shared" si="4"/>
        <v>23632.415301662695</v>
      </c>
      <c r="H69" s="336" t="e">
        <f t="shared" si="5"/>
        <v>#VALUE!</v>
      </c>
      <c r="I69" s="333"/>
      <c r="J69" s="359">
        <f t="shared" si="6"/>
        <v>43008</v>
      </c>
      <c r="K69" s="334">
        <f t="shared" si="7"/>
        <v>57</v>
      </c>
      <c r="L69" s="335">
        <f t="shared" si="8"/>
        <v>227.1751863850151</v>
      </c>
      <c r="M69" s="335"/>
      <c r="N69" s="335">
        <f t="shared" si="9"/>
        <v>197.18669824832816</v>
      </c>
      <c r="O69" s="335">
        <f t="shared" si="27"/>
        <v>29.988488136686954</v>
      </c>
      <c r="P69" s="360">
        <f t="shared" si="10"/>
        <v>23632.415301662695</v>
      </c>
      <c r="R69" s="359">
        <f t="shared" si="11"/>
        <v>43008</v>
      </c>
      <c r="S69" s="334">
        <f t="shared" si="12"/>
        <v>57</v>
      </c>
      <c r="T69" s="335">
        <f t="shared" si="13"/>
        <v>227.1751863850151</v>
      </c>
      <c r="U69" s="335"/>
      <c r="V69" s="335">
        <f t="shared" si="14"/>
        <v>197.18669824832816</v>
      </c>
      <c r="W69" s="335">
        <f t="shared" si="28"/>
        <v>29.988488136686954</v>
      </c>
      <c r="X69" s="360">
        <f t="shared" si="15"/>
        <v>23632.415301662695</v>
      </c>
      <c r="Z69" s="359">
        <f t="shared" si="16"/>
        <v>43008</v>
      </c>
      <c r="AA69" s="334">
        <f t="shared" si="17"/>
        <v>57</v>
      </c>
      <c r="AB69" s="335">
        <f t="shared" si="18"/>
        <v>227.1751863850151</v>
      </c>
      <c r="AC69" s="335"/>
      <c r="AD69" s="335">
        <f t="shared" si="19"/>
        <v>197.18669824832816</v>
      </c>
      <c r="AE69" s="335">
        <f t="shared" si="29"/>
        <v>29.988488136686954</v>
      </c>
      <c r="AF69" s="360">
        <f t="shared" si="20"/>
        <v>23632.415301662695</v>
      </c>
      <c r="AH69" s="359">
        <f t="shared" si="21"/>
        <v>43008</v>
      </c>
      <c r="AI69" s="334">
        <f t="shared" si="22"/>
        <v>57</v>
      </c>
      <c r="AJ69" s="335">
        <f t="shared" si="23"/>
        <v>227.1751863850151</v>
      </c>
      <c r="AK69" s="335"/>
      <c r="AL69" s="335">
        <f t="shared" si="24"/>
        <v>197.18669824832816</v>
      </c>
      <c r="AM69" s="335">
        <f t="shared" si="30"/>
        <v>29.988488136686954</v>
      </c>
      <c r="AN69" s="360">
        <f t="shared" si="25"/>
        <v>23632.415301662695</v>
      </c>
    </row>
    <row r="70" spans="1:40" ht="12.75">
      <c r="A70" s="359">
        <f t="shared" si="0"/>
        <v>43039</v>
      </c>
      <c r="B70" s="334">
        <f t="shared" si="1"/>
        <v>58</v>
      </c>
      <c r="C70" s="335">
        <f t="shared" si="2"/>
        <v>227.1751863850151</v>
      </c>
      <c r="D70" s="335"/>
      <c r="E70" s="335">
        <f t="shared" si="3"/>
        <v>196.93679418052247</v>
      </c>
      <c r="F70" s="335">
        <f t="shared" si="26"/>
        <v>30.23839220449264</v>
      </c>
      <c r="G70" s="360">
        <f t="shared" si="4"/>
        <v>23602.1769094582</v>
      </c>
      <c r="H70" s="336" t="e">
        <f t="shared" si="5"/>
        <v>#VALUE!</v>
      </c>
      <c r="I70" s="333"/>
      <c r="J70" s="359">
        <f t="shared" si="6"/>
        <v>43039</v>
      </c>
      <c r="K70" s="334">
        <f t="shared" si="7"/>
        <v>58</v>
      </c>
      <c r="L70" s="335">
        <f t="shared" si="8"/>
        <v>227.1751863850151</v>
      </c>
      <c r="M70" s="335"/>
      <c r="N70" s="335">
        <f t="shared" si="9"/>
        <v>196.93679418052247</v>
      </c>
      <c r="O70" s="335">
        <f t="shared" si="27"/>
        <v>30.23839220449264</v>
      </c>
      <c r="P70" s="360">
        <f t="shared" si="10"/>
        <v>23602.1769094582</v>
      </c>
      <c r="R70" s="359">
        <f t="shared" si="11"/>
        <v>43039</v>
      </c>
      <c r="S70" s="334">
        <f t="shared" si="12"/>
        <v>58</v>
      </c>
      <c r="T70" s="335">
        <f t="shared" si="13"/>
        <v>227.1751863850151</v>
      </c>
      <c r="U70" s="335"/>
      <c r="V70" s="335">
        <f t="shared" si="14"/>
        <v>196.93679418052247</v>
      </c>
      <c r="W70" s="335">
        <f t="shared" si="28"/>
        <v>30.23839220449264</v>
      </c>
      <c r="X70" s="360">
        <f t="shared" si="15"/>
        <v>23602.1769094582</v>
      </c>
      <c r="Z70" s="359">
        <f t="shared" si="16"/>
        <v>43039</v>
      </c>
      <c r="AA70" s="334">
        <f t="shared" si="17"/>
        <v>58</v>
      </c>
      <c r="AB70" s="335">
        <f t="shared" si="18"/>
        <v>227.1751863850151</v>
      </c>
      <c r="AC70" s="335"/>
      <c r="AD70" s="335">
        <f t="shared" si="19"/>
        <v>196.93679418052247</v>
      </c>
      <c r="AE70" s="335">
        <f t="shared" si="29"/>
        <v>30.23839220449264</v>
      </c>
      <c r="AF70" s="360">
        <f t="shared" si="20"/>
        <v>23602.1769094582</v>
      </c>
      <c r="AH70" s="359">
        <f t="shared" si="21"/>
        <v>43039</v>
      </c>
      <c r="AI70" s="334">
        <f t="shared" si="22"/>
        <v>58</v>
      </c>
      <c r="AJ70" s="335">
        <f t="shared" si="23"/>
        <v>227.1751863850151</v>
      </c>
      <c r="AK70" s="335"/>
      <c r="AL70" s="335">
        <f t="shared" si="24"/>
        <v>196.93679418052247</v>
      </c>
      <c r="AM70" s="335">
        <f t="shared" si="30"/>
        <v>30.23839220449264</v>
      </c>
      <c r="AN70" s="360">
        <f t="shared" si="25"/>
        <v>23602.1769094582</v>
      </c>
    </row>
    <row r="71" spans="1:40" ht="12.75">
      <c r="A71" s="359">
        <f t="shared" si="0"/>
        <v>43069</v>
      </c>
      <c r="B71" s="334">
        <f t="shared" si="1"/>
        <v>59</v>
      </c>
      <c r="C71" s="335">
        <f t="shared" si="2"/>
        <v>227.1751863850151</v>
      </c>
      <c r="D71" s="335"/>
      <c r="E71" s="335">
        <f t="shared" si="3"/>
        <v>196.68480757881835</v>
      </c>
      <c r="F71" s="335">
        <f t="shared" si="26"/>
        <v>30.49037880619676</v>
      </c>
      <c r="G71" s="360">
        <f t="shared" si="4"/>
        <v>23571.686530652005</v>
      </c>
      <c r="H71" s="336" t="e">
        <f t="shared" si="5"/>
        <v>#VALUE!</v>
      </c>
      <c r="I71" s="333"/>
      <c r="J71" s="359">
        <f t="shared" si="6"/>
        <v>43069</v>
      </c>
      <c r="K71" s="334">
        <f t="shared" si="7"/>
        <v>59</v>
      </c>
      <c r="L71" s="335">
        <f t="shared" si="8"/>
        <v>227.1751863850151</v>
      </c>
      <c r="M71" s="335"/>
      <c r="N71" s="335">
        <f t="shared" si="9"/>
        <v>196.68480757881835</v>
      </c>
      <c r="O71" s="335">
        <f t="shared" si="27"/>
        <v>30.49037880619676</v>
      </c>
      <c r="P71" s="360">
        <f t="shared" si="10"/>
        <v>23571.686530652005</v>
      </c>
      <c r="R71" s="359">
        <f t="shared" si="11"/>
        <v>43069</v>
      </c>
      <c r="S71" s="334">
        <f t="shared" si="12"/>
        <v>59</v>
      </c>
      <c r="T71" s="335">
        <f t="shared" si="13"/>
        <v>227.1751863850151</v>
      </c>
      <c r="U71" s="335"/>
      <c r="V71" s="335">
        <f t="shared" si="14"/>
        <v>196.68480757881835</v>
      </c>
      <c r="W71" s="335">
        <f t="shared" si="28"/>
        <v>30.49037880619676</v>
      </c>
      <c r="X71" s="360">
        <f t="shared" si="15"/>
        <v>23571.686530652005</v>
      </c>
      <c r="Z71" s="359">
        <f t="shared" si="16"/>
        <v>43069</v>
      </c>
      <c r="AA71" s="334">
        <f t="shared" si="17"/>
        <v>59</v>
      </c>
      <c r="AB71" s="335">
        <f t="shared" si="18"/>
        <v>227.1751863850151</v>
      </c>
      <c r="AC71" s="335"/>
      <c r="AD71" s="335">
        <f t="shared" si="19"/>
        <v>196.68480757881835</v>
      </c>
      <c r="AE71" s="335">
        <f t="shared" si="29"/>
        <v>30.49037880619676</v>
      </c>
      <c r="AF71" s="360">
        <f t="shared" si="20"/>
        <v>23571.686530652005</v>
      </c>
      <c r="AH71" s="359">
        <f t="shared" si="21"/>
        <v>43069</v>
      </c>
      <c r="AI71" s="334">
        <f t="shared" si="22"/>
        <v>59</v>
      </c>
      <c r="AJ71" s="335">
        <f t="shared" si="23"/>
        <v>227.1751863850151</v>
      </c>
      <c r="AK71" s="335"/>
      <c r="AL71" s="335">
        <f t="shared" si="24"/>
        <v>196.68480757881835</v>
      </c>
      <c r="AM71" s="335">
        <f t="shared" si="30"/>
        <v>30.49037880619676</v>
      </c>
      <c r="AN71" s="360">
        <f t="shared" si="25"/>
        <v>23571.686530652005</v>
      </c>
    </row>
    <row r="72" spans="1:40" ht="12.75">
      <c r="A72" s="359">
        <f t="shared" si="0"/>
        <v>43100</v>
      </c>
      <c r="B72" s="334">
        <f t="shared" si="1"/>
        <v>60</v>
      </c>
      <c r="C72" s="335">
        <f t="shared" si="2"/>
        <v>227.1751863850151</v>
      </c>
      <c r="D72" s="335"/>
      <c r="E72" s="335">
        <f t="shared" si="3"/>
        <v>196.43072108876672</v>
      </c>
      <c r="F72" s="335">
        <f t="shared" si="26"/>
        <v>30.744465296248393</v>
      </c>
      <c r="G72" s="360">
        <f t="shared" si="4"/>
        <v>23540.942065355757</v>
      </c>
      <c r="H72" s="336" t="e">
        <f t="shared" si="5"/>
        <v>#VALUE!</v>
      </c>
      <c r="I72" s="333"/>
      <c r="J72" s="359">
        <f t="shared" si="6"/>
        <v>43100</v>
      </c>
      <c r="K72" s="334">
        <f t="shared" si="7"/>
        <v>60</v>
      </c>
      <c r="L72" s="335">
        <f t="shared" si="8"/>
        <v>227.1751863850151</v>
      </c>
      <c r="M72" s="335"/>
      <c r="N72" s="335">
        <f t="shared" si="9"/>
        <v>196.43072108876672</v>
      </c>
      <c r="O72" s="335">
        <f t="shared" si="27"/>
        <v>30.744465296248393</v>
      </c>
      <c r="P72" s="360">
        <f t="shared" si="10"/>
        <v>23540.942065355757</v>
      </c>
      <c r="R72" s="359">
        <f t="shared" si="11"/>
        <v>43100</v>
      </c>
      <c r="S72" s="334">
        <f t="shared" si="12"/>
        <v>60</v>
      </c>
      <c r="T72" s="335">
        <f t="shared" si="13"/>
        <v>227.1751863850151</v>
      </c>
      <c r="U72" s="335"/>
      <c r="V72" s="335">
        <f t="shared" si="14"/>
        <v>196.43072108876672</v>
      </c>
      <c r="W72" s="335">
        <f t="shared" si="28"/>
        <v>30.744465296248393</v>
      </c>
      <c r="X72" s="360">
        <f t="shared" si="15"/>
        <v>23540.942065355757</v>
      </c>
      <c r="Z72" s="359">
        <f t="shared" si="16"/>
        <v>43100</v>
      </c>
      <c r="AA72" s="334">
        <f t="shared" si="17"/>
        <v>60</v>
      </c>
      <c r="AB72" s="335">
        <f t="shared" si="18"/>
        <v>227.1751863850151</v>
      </c>
      <c r="AC72" s="335"/>
      <c r="AD72" s="335">
        <f t="shared" si="19"/>
        <v>196.43072108876672</v>
      </c>
      <c r="AE72" s="335">
        <f t="shared" si="29"/>
        <v>30.744465296248393</v>
      </c>
      <c r="AF72" s="360">
        <f t="shared" si="20"/>
        <v>23540.942065355757</v>
      </c>
      <c r="AH72" s="359">
        <f t="shared" si="21"/>
        <v>43100</v>
      </c>
      <c r="AI72" s="334">
        <f t="shared" si="22"/>
        <v>60</v>
      </c>
      <c r="AJ72" s="335">
        <f t="shared" si="23"/>
        <v>227.1751863850151</v>
      </c>
      <c r="AK72" s="335"/>
      <c r="AL72" s="335">
        <f t="shared" si="24"/>
        <v>196.43072108876672</v>
      </c>
      <c r="AM72" s="335">
        <f t="shared" si="30"/>
        <v>30.744465296248393</v>
      </c>
      <c r="AN72" s="360">
        <f t="shared" si="25"/>
        <v>23540.942065355757</v>
      </c>
    </row>
    <row r="73" spans="1:40" ht="12.75">
      <c r="A73" s="359">
        <f t="shared" si="0"/>
        <v>43131</v>
      </c>
      <c r="B73" s="334">
        <f t="shared" si="1"/>
        <v>61</v>
      </c>
      <c r="C73" s="335">
        <f t="shared" si="2"/>
        <v>227.1751863850151</v>
      </c>
      <c r="D73" s="335"/>
      <c r="E73" s="335">
        <f t="shared" si="3"/>
        <v>196.17451721129797</v>
      </c>
      <c r="F73" s="335">
        <f t="shared" si="26"/>
        <v>31.000669173717142</v>
      </c>
      <c r="G73" s="360">
        <f t="shared" si="4"/>
        <v>23509.94139618204</v>
      </c>
      <c r="H73" s="336" t="e">
        <f t="shared" si="5"/>
        <v>#VALUE!</v>
      </c>
      <c r="I73" s="333"/>
      <c r="J73" s="359">
        <f t="shared" si="6"/>
        <v>43131</v>
      </c>
      <c r="K73" s="334">
        <f t="shared" si="7"/>
        <v>61</v>
      </c>
      <c r="L73" s="335">
        <f t="shared" si="8"/>
        <v>227.1751863850151</v>
      </c>
      <c r="M73" s="335"/>
      <c r="N73" s="335">
        <f t="shared" si="9"/>
        <v>196.17451721129797</v>
      </c>
      <c r="O73" s="335">
        <f t="shared" si="27"/>
        <v>31.000669173717142</v>
      </c>
      <c r="P73" s="360">
        <f t="shared" si="10"/>
        <v>23509.94139618204</v>
      </c>
      <c r="R73" s="359">
        <f t="shared" si="11"/>
        <v>43131</v>
      </c>
      <c r="S73" s="334">
        <f t="shared" si="12"/>
        <v>61</v>
      </c>
      <c r="T73" s="335">
        <f t="shared" si="13"/>
        <v>227.1751863850151</v>
      </c>
      <c r="U73" s="335"/>
      <c r="V73" s="335">
        <f t="shared" si="14"/>
        <v>196.17451721129797</v>
      </c>
      <c r="W73" s="335">
        <f t="shared" si="28"/>
        <v>31.000669173717142</v>
      </c>
      <c r="X73" s="360">
        <f t="shared" si="15"/>
        <v>23509.94139618204</v>
      </c>
      <c r="Z73" s="359">
        <f t="shared" si="16"/>
        <v>43131</v>
      </c>
      <c r="AA73" s="334">
        <f t="shared" si="17"/>
        <v>61</v>
      </c>
      <c r="AB73" s="335">
        <f t="shared" si="18"/>
        <v>227.1751863850151</v>
      </c>
      <c r="AC73" s="335"/>
      <c r="AD73" s="335">
        <f t="shared" si="19"/>
        <v>196.17451721129797</v>
      </c>
      <c r="AE73" s="335">
        <f t="shared" si="29"/>
        <v>31.000669173717142</v>
      </c>
      <c r="AF73" s="360">
        <f t="shared" si="20"/>
        <v>23509.94139618204</v>
      </c>
      <c r="AH73" s="359">
        <f t="shared" si="21"/>
        <v>43131</v>
      </c>
      <c r="AI73" s="334">
        <f t="shared" si="22"/>
        <v>61</v>
      </c>
      <c r="AJ73" s="335">
        <f t="shared" si="23"/>
        <v>227.1751863850151</v>
      </c>
      <c r="AK73" s="335"/>
      <c r="AL73" s="335">
        <f t="shared" si="24"/>
        <v>196.17451721129797</v>
      </c>
      <c r="AM73" s="335">
        <f t="shared" si="30"/>
        <v>31.000669173717142</v>
      </c>
      <c r="AN73" s="360">
        <f t="shared" si="25"/>
        <v>23509.94139618204</v>
      </c>
    </row>
    <row r="74" spans="1:40" ht="12.75">
      <c r="A74" s="359">
        <f t="shared" si="0"/>
        <v>43159</v>
      </c>
      <c r="B74" s="334">
        <f t="shared" si="1"/>
        <v>62</v>
      </c>
      <c r="C74" s="335">
        <f t="shared" si="2"/>
        <v>227.1751863850151</v>
      </c>
      <c r="D74" s="335"/>
      <c r="E74" s="335">
        <f t="shared" si="3"/>
        <v>195.916178301517</v>
      </c>
      <c r="F74" s="335">
        <f t="shared" si="26"/>
        <v>31.259008083498117</v>
      </c>
      <c r="G74" s="360">
        <f t="shared" si="4"/>
        <v>23478.68238809854</v>
      </c>
      <c r="H74" s="336" t="e">
        <f t="shared" si="5"/>
        <v>#VALUE!</v>
      </c>
      <c r="I74" s="333"/>
      <c r="J74" s="359">
        <f t="shared" si="6"/>
        <v>43159</v>
      </c>
      <c r="K74" s="334">
        <f t="shared" si="7"/>
        <v>62</v>
      </c>
      <c r="L74" s="335">
        <f t="shared" si="8"/>
        <v>227.1751863850151</v>
      </c>
      <c r="M74" s="335"/>
      <c r="N74" s="335">
        <f t="shared" si="9"/>
        <v>195.916178301517</v>
      </c>
      <c r="O74" s="335">
        <f t="shared" si="27"/>
        <v>31.259008083498117</v>
      </c>
      <c r="P74" s="360">
        <f t="shared" si="10"/>
        <v>23478.68238809854</v>
      </c>
      <c r="R74" s="359">
        <f t="shared" si="11"/>
        <v>43159</v>
      </c>
      <c r="S74" s="334">
        <f t="shared" si="12"/>
        <v>62</v>
      </c>
      <c r="T74" s="335">
        <f t="shared" si="13"/>
        <v>227.1751863850151</v>
      </c>
      <c r="U74" s="335"/>
      <c r="V74" s="335">
        <f t="shared" si="14"/>
        <v>195.916178301517</v>
      </c>
      <c r="W74" s="335">
        <f t="shared" si="28"/>
        <v>31.259008083498117</v>
      </c>
      <c r="X74" s="360">
        <f t="shared" si="15"/>
        <v>23478.68238809854</v>
      </c>
      <c r="Z74" s="359">
        <f t="shared" si="16"/>
        <v>43159</v>
      </c>
      <c r="AA74" s="334">
        <f t="shared" si="17"/>
        <v>62</v>
      </c>
      <c r="AB74" s="335">
        <f t="shared" si="18"/>
        <v>227.1751863850151</v>
      </c>
      <c r="AC74" s="335"/>
      <c r="AD74" s="335">
        <f t="shared" si="19"/>
        <v>195.916178301517</v>
      </c>
      <c r="AE74" s="335">
        <f t="shared" si="29"/>
        <v>31.259008083498117</v>
      </c>
      <c r="AF74" s="360">
        <f t="shared" si="20"/>
        <v>23478.68238809854</v>
      </c>
      <c r="AH74" s="359">
        <f t="shared" si="21"/>
        <v>43159</v>
      </c>
      <c r="AI74" s="334">
        <f t="shared" si="22"/>
        <v>62</v>
      </c>
      <c r="AJ74" s="335">
        <f t="shared" si="23"/>
        <v>227.1751863850151</v>
      </c>
      <c r="AK74" s="335"/>
      <c r="AL74" s="335">
        <f t="shared" si="24"/>
        <v>195.916178301517</v>
      </c>
      <c r="AM74" s="335">
        <f t="shared" si="30"/>
        <v>31.259008083498117</v>
      </c>
      <c r="AN74" s="360">
        <f t="shared" si="25"/>
        <v>23478.68238809854</v>
      </c>
    </row>
    <row r="75" spans="1:40" ht="12.75">
      <c r="A75" s="359">
        <f t="shared" si="0"/>
        <v>43190</v>
      </c>
      <c r="B75" s="334">
        <f t="shared" si="1"/>
        <v>63</v>
      </c>
      <c r="C75" s="335">
        <f t="shared" si="2"/>
        <v>227.1751863850151</v>
      </c>
      <c r="D75" s="335"/>
      <c r="E75" s="335">
        <f t="shared" si="3"/>
        <v>195.65568656748783</v>
      </c>
      <c r="F75" s="335">
        <f t="shared" si="26"/>
        <v>31.519499817527276</v>
      </c>
      <c r="G75" s="360">
        <f t="shared" si="4"/>
        <v>23447.16288828101</v>
      </c>
      <c r="H75" s="336" t="e">
        <f t="shared" si="5"/>
        <v>#VALUE!</v>
      </c>
      <c r="I75" s="333"/>
      <c r="J75" s="359">
        <f t="shared" si="6"/>
        <v>43190</v>
      </c>
      <c r="K75" s="334">
        <f t="shared" si="7"/>
        <v>63</v>
      </c>
      <c r="L75" s="335">
        <f t="shared" si="8"/>
        <v>227.1751863850151</v>
      </c>
      <c r="M75" s="335"/>
      <c r="N75" s="335">
        <f t="shared" si="9"/>
        <v>195.65568656748783</v>
      </c>
      <c r="O75" s="335">
        <f t="shared" si="27"/>
        <v>31.519499817527276</v>
      </c>
      <c r="P75" s="360">
        <f t="shared" si="10"/>
        <v>23447.16288828101</v>
      </c>
      <c r="R75" s="359">
        <f t="shared" si="11"/>
        <v>43190</v>
      </c>
      <c r="S75" s="334">
        <f t="shared" si="12"/>
        <v>63</v>
      </c>
      <c r="T75" s="335">
        <f t="shared" si="13"/>
        <v>227.1751863850151</v>
      </c>
      <c r="U75" s="335"/>
      <c r="V75" s="335">
        <f t="shared" si="14"/>
        <v>195.65568656748783</v>
      </c>
      <c r="W75" s="335">
        <f t="shared" si="28"/>
        <v>31.519499817527276</v>
      </c>
      <c r="X75" s="360">
        <f t="shared" si="15"/>
        <v>23447.16288828101</v>
      </c>
      <c r="Z75" s="359">
        <f t="shared" si="16"/>
        <v>43190</v>
      </c>
      <c r="AA75" s="334">
        <f t="shared" si="17"/>
        <v>63</v>
      </c>
      <c r="AB75" s="335">
        <f t="shared" si="18"/>
        <v>227.1751863850151</v>
      </c>
      <c r="AC75" s="335"/>
      <c r="AD75" s="335">
        <f t="shared" si="19"/>
        <v>195.65568656748783</v>
      </c>
      <c r="AE75" s="335">
        <f t="shared" si="29"/>
        <v>31.519499817527276</v>
      </c>
      <c r="AF75" s="360">
        <f t="shared" si="20"/>
        <v>23447.16288828101</v>
      </c>
      <c r="AH75" s="359">
        <f t="shared" si="21"/>
        <v>43190</v>
      </c>
      <c r="AI75" s="334">
        <f t="shared" si="22"/>
        <v>63</v>
      </c>
      <c r="AJ75" s="335">
        <f t="shared" si="23"/>
        <v>227.1751863850151</v>
      </c>
      <c r="AK75" s="335"/>
      <c r="AL75" s="335">
        <f t="shared" si="24"/>
        <v>195.65568656748783</v>
      </c>
      <c r="AM75" s="335">
        <f t="shared" si="30"/>
        <v>31.519499817527276</v>
      </c>
      <c r="AN75" s="360">
        <f t="shared" si="25"/>
        <v>23447.16288828101</v>
      </c>
    </row>
    <row r="76" spans="1:40" ht="12.75">
      <c r="A76" s="359">
        <f t="shared" si="0"/>
        <v>43220</v>
      </c>
      <c r="B76" s="334">
        <f t="shared" si="1"/>
        <v>64</v>
      </c>
      <c r="C76" s="335">
        <f t="shared" si="2"/>
        <v>227.1751863850151</v>
      </c>
      <c r="D76" s="335"/>
      <c r="E76" s="335">
        <f t="shared" si="3"/>
        <v>195.39302406900842</v>
      </c>
      <c r="F76" s="335">
        <f t="shared" si="26"/>
        <v>31.78216231600669</v>
      </c>
      <c r="G76" s="360">
        <f t="shared" si="4"/>
        <v>23415.380725965006</v>
      </c>
      <c r="H76" s="336" t="e">
        <f t="shared" si="5"/>
        <v>#VALUE!</v>
      </c>
      <c r="I76" s="333"/>
      <c r="J76" s="359">
        <f t="shared" si="6"/>
        <v>43220</v>
      </c>
      <c r="K76" s="334">
        <f t="shared" si="7"/>
        <v>64</v>
      </c>
      <c r="L76" s="335">
        <f t="shared" si="8"/>
        <v>227.1751863850151</v>
      </c>
      <c r="M76" s="335"/>
      <c r="N76" s="335">
        <f t="shared" si="9"/>
        <v>195.39302406900842</v>
      </c>
      <c r="O76" s="335">
        <f t="shared" si="27"/>
        <v>31.78216231600669</v>
      </c>
      <c r="P76" s="360">
        <f t="shared" si="10"/>
        <v>23415.380725965006</v>
      </c>
      <c r="R76" s="359">
        <f t="shared" si="11"/>
        <v>43220</v>
      </c>
      <c r="S76" s="334">
        <f t="shared" si="12"/>
        <v>64</v>
      </c>
      <c r="T76" s="335">
        <f t="shared" si="13"/>
        <v>227.1751863850151</v>
      </c>
      <c r="U76" s="335"/>
      <c r="V76" s="335">
        <f t="shared" si="14"/>
        <v>195.39302406900842</v>
      </c>
      <c r="W76" s="335">
        <f t="shared" si="28"/>
        <v>31.78216231600669</v>
      </c>
      <c r="X76" s="360">
        <f t="shared" si="15"/>
        <v>23415.380725965006</v>
      </c>
      <c r="Z76" s="359">
        <f t="shared" si="16"/>
        <v>43220</v>
      </c>
      <c r="AA76" s="334">
        <f t="shared" si="17"/>
        <v>64</v>
      </c>
      <c r="AB76" s="335">
        <f t="shared" si="18"/>
        <v>227.1751863850151</v>
      </c>
      <c r="AC76" s="335"/>
      <c r="AD76" s="335">
        <f t="shared" si="19"/>
        <v>195.39302406900842</v>
      </c>
      <c r="AE76" s="335">
        <f t="shared" si="29"/>
        <v>31.78216231600669</v>
      </c>
      <c r="AF76" s="360">
        <f t="shared" si="20"/>
        <v>23415.380725965006</v>
      </c>
      <c r="AH76" s="359">
        <f t="shared" si="21"/>
        <v>43220</v>
      </c>
      <c r="AI76" s="334">
        <f t="shared" si="22"/>
        <v>64</v>
      </c>
      <c r="AJ76" s="335">
        <f t="shared" si="23"/>
        <v>227.1751863850151</v>
      </c>
      <c r="AK76" s="335"/>
      <c r="AL76" s="335">
        <f t="shared" si="24"/>
        <v>195.39302406900842</v>
      </c>
      <c r="AM76" s="335">
        <f t="shared" si="30"/>
        <v>31.78216231600669</v>
      </c>
      <c r="AN76" s="360">
        <f t="shared" si="25"/>
        <v>23415.380725965006</v>
      </c>
    </row>
    <row r="77" spans="1:40" ht="12.75">
      <c r="A77" s="359">
        <f t="shared" si="0"/>
        <v>43251</v>
      </c>
      <c r="B77" s="334">
        <f t="shared" si="1"/>
        <v>65</v>
      </c>
      <c r="C77" s="335">
        <f t="shared" si="2"/>
        <v>227.1751863850151</v>
      </c>
      <c r="D77" s="335"/>
      <c r="E77" s="335">
        <f t="shared" si="3"/>
        <v>195.12817271637505</v>
      </c>
      <c r="F77" s="335">
        <f t="shared" si="26"/>
        <v>32.04701366864006</v>
      </c>
      <c r="G77" s="360">
        <f t="shared" si="4"/>
        <v>23383.333712296364</v>
      </c>
      <c r="H77" s="336" t="e">
        <f t="shared" si="5"/>
        <v>#VALUE!</v>
      </c>
      <c r="I77" s="333"/>
      <c r="J77" s="359">
        <f t="shared" si="6"/>
        <v>43251</v>
      </c>
      <c r="K77" s="334">
        <f t="shared" si="7"/>
        <v>65</v>
      </c>
      <c r="L77" s="335">
        <f t="shared" si="8"/>
        <v>227.1751863850151</v>
      </c>
      <c r="M77" s="335"/>
      <c r="N77" s="335">
        <f t="shared" si="9"/>
        <v>195.12817271637505</v>
      </c>
      <c r="O77" s="335">
        <f t="shared" si="27"/>
        <v>32.04701366864006</v>
      </c>
      <c r="P77" s="360">
        <f t="shared" si="10"/>
        <v>23383.333712296364</v>
      </c>
      <c r="R77" s="359">
        <f t="shared" si="11"/>
        <v>43251</v>
      </c>
      <c r="S77" s="334">
        <f t="shared" si="12"/>
        <v>65</v>
      </c>
      <c r="T77" s="335">
        <f t="shared" si="13"/>
        <v>227.1751863850151</v>
      </c>
      <c r="U77" s="335"/>
      <c r="V77" s="335">
        <f t="shared" si="14"/>
        <v>195.12817271637505</v>
      </c>
      <c r="W77" s="335">
        <f t="shared" si="28"/>
        <v>32.04701366864006</v>
      </c>
      <c r="X77" s="360">
        <f t="shared" si="15"/>
        <v>23383.333712296364</v>
      </c>
      <c r="Z77" s="359">
        <f t="shared" si="16"/>
        <v>43251</v>
      </c>
      <c r="AA77" s="334">
        <f t="shared" si="17"/>
        <v>65</v>
      </c>
      <c r="AB77" s="335">
        <f t="shared" si="18"/>
        <v>227.1751863850151</v>
      </c>
      <c r="AC77" s="335"/>
      <c r="AD77" s="335">
        <f t="shared" si="19"/>
        <v>195.12817271637505</v>
      </c>
      <c r="AE77" s="335">
        <f t="shared" si="29"/>
        <v>32.04701366864006</v>
      </c>
      <c r="AF77" s="360">
        <f t="shared" si="20"/>
        <v>23383.333712296364</v>
      </c>
      <c r="AH77" s="359">
        <f t="shared" si="21"/>
        <v>43251</v>
      </c>
      <c r="AI77" s="334">
        <f t="shared" si="22"/>
        <v>65</v>
      </c>
      <c r="AJ77" s="335">
        <f t="shared" si="23"/>
        <v>227.1751863850151</v>
      </c>
      <c r="AK77" s="335"/>
      <c r="AL77" s="335">
        <f t="shared" si="24"/>
        <v>195.12817271637505</v>
      </c>
      <c r="AM77" s="335">
        <f t="shared" si="30"/>
        <v>32.04701366864006</v>
      </c>
      <c r="AN77" s="360">
        <f t="shared" si="25"/>
        <v>23383.333712296364</v>
      </c>
    </row>
    <row r="78" spans="1:40" ht="12.75">
      <c r="A78" s="359">
        <f aca="true" t="shared" si="31" ref="A78:A141">IF($C$8&lt;27,DATE((YEAR(A77)-1900),MONTH(A77)+1,$C$8),DATE((YEAR(A77)-1900),MONTH(A77)+2,1)-1)</f>
        <v>43281</v>
      </c>
      <c r="B78" s="334">
        <f aca="true" t="shared" si="32" ref="B78:B141">B77+1</f>
        <v>66</v>
      </c>
      <c r="C78" s="335">
        <f aca="true" t="shared" si="33" ref="C78:C141">IF(G77&gt;0.5,C77,"")</f>
        <v>227.1751863850151</v>
      </c>
      <c r="D78" s="335"/>
      <c r="E78" s="335">
        <f aca="true" t="shared" si="34" ref="E78:E141">IF(G77&gt;0.5,$D$5*G77,"")</f>
        <v>194.86111426913635</v>
      </c>
      <c r="F78" s="335">
        <f t="shared" si="26"/>
        <v>32.31407211587876</v>
      </c>
      <c r="G78" s="360">
        <f aca="true" t="shared" si="35" ref="G78:G141">IF(G77&gt;0.5,G77-F78,0)</f>
        <v>23351.019640180486</v>
      </c>
      <c r="H78" s="336" t="e">
        <f aca="true" t="shared" si="36" ref="H78:H141">IF(G77&gt;0.5,E78*$J$5,"")</f>
        <v>#VALUE!</v>
      </c>
      <c r="I78" s="333"/>
      <c r="J78" s="359">
        <f aca="true" t="shared" si="37" ref="J78:J141">IF($C$8&lt;27,DATE((YEAR(J77)-1900),MONTH(J77)+1,$C$8),DATE((YEAR(J77)-1900),MONTH(J77)+2,1)-1)</f>
        <v>43281</v>
      </c>
      <c r="K78" s="334">
        <f aca="true" t="shared" si="38" ref="K78:K141">K77+1</f>
        <v>66</v>
      </c>
      <c r="L78" s="335">
        <f aca="true" t="shared" si="39" ref="L78:L141">IF(P77&gt;0.5,L77,"")</f>
        <v>227.1751863850151</v>
      </c>
      <c r="M78" s="335"/>
      <c r="N78" s="335">
        <f aca="true" t="shared" si="40" ref="N78:N141">IF(P77&gt;0.5,$D$5*P77,"")</f>
        <v>194.86111426913635</v>
      </c>
      <c r="O78" s="335">
        <f t="shared" si="27"/>
        <v>32.31407211587876</v>
      </c>
      <c r="P78" s="360">
        <f aca="true" t="shared" si="41" ref="P78:P141">IF(P77&gt;0.5,P77-O78,0)</f>
        <v>23351.019640180486</v>
      </c>
      <c r="R78" s="359">
        <f aca="true" t="shared" si="42" ref="R78:R141">IF($C$8&lt;27,DATE((YEAR(R77)-1900),MONTH(R77)+1,$C$8),DATE((YEAR(R77)-1900),MONTH(R77)+2,1)-1)</f>
        <v>43281</v>
      </c>
      <c r="S78" s="334">
        <f aca="true" t="shared" si="43" ref="S78:S141">S77+1</f>
        <v>66</v>
      </c>
      <c r="T78" s="335">
        <f aca="true" t="shared" si="44" ref="T78:T141">IF(X77&gt;0.5,T77,"")</f>
        <v>227.1751863850151</v>
      </c>
      <c r="U78" s="335"/>
      <c r="V78" s="335">
        <f aca="true" t="shared" si="45" ref="V78:V141">IF(X77&gt;0.5,$D$5*X77,"")</f>
        <v>194.86111426913635</v>
      </c>
      <c r="W78" s="335">
        <f t="shared" si="28"/>
        <v>32.31407211587876</v>
      </c>
      <c r="X78" s="360">
        <f aca="true" t="shared" si="46" ref="X78:X141">IF(X77&gt;0.5,X77-W78,0)</f>
        <v>23351.019640180486</v>
      </c>
      <c r="Z78" s="359">
        <f aca="true" t="shared" si="47" ref="Z78:Z141">IF($C$8&lt;27,DATE((YEAR(Z77)-1900),MONTH(Z77)+1,$C$8),DATE((YEAR(Z77)-1900),MONTH(Z77)+2,1)-1)</f>
        <v>43281</v>
      </c>
      <c r="AA78" s="334">
        <f aca="true" t="shared" si="48" ref="AA78:AA141">AA77+1</f>
        <v>66</v>
      </c>
      <c r="AB78" s="335">
        <f aca="true" t="shared" si="49" ref="AB78:AB141">IF(AF77&gt;0.5,AB77,"")</f>
        <v>227.1751863850151</v>
      </c>
      <c r="AC78" s="335"/>
      <c r="AD78" s="335">
        <f aca="true" t="shared" si="50" ref="AD78:AD141">IF(AF77&gt;0.5,$D$5*AF77,"")</f>
        <v>194.86111426913635</v>
      </c>
      <c r="AE78" s="335">
        <f t="shared" si="29"/>
        <v>32.31407211587876</v>
      </c>
      <c r="AF78" s="360">
        <f aca="true" t="shared" si="51" ref="AF78:AF141">IF(AF77&gt;0.5,AF77-AE78,0)</f>
        <v>23351.019640180486</v>
      </c>
      <c r="AH78" s="359">
        <f aca="true" t="shared" si="52" ref="AH78:AH141">IF($C$8&lt;27,DATE((YEAR(AH77)-1900),MONTH(AH77)+1,$C$8),DATE((YEAR(AH77)-1900),MONTH(AH77)+2,1)-1)</f>
        <v>43281</v>
      </c>
      <c r="AI78" s="334">
        <f aca="true" t="shared" si="53" ref="AI78:AI141">AI77+1</f>
        <v>66</v>
      </c>
      <c r="AJ78" s="335">
        <f aca="true" t="shared" si="54" ref="AJ78:AJ141">IF(AN77&gt;0.5,AJ77,"")</f>
        <v>227.1751863850151</v>
      </c>
      <c r="AK78" s="335"/>
      <c r="AL78" s="335">
        <f aca="true" t="shared" si="55" ref="AL78:AL141">IF(AN77&gt;0.5,$D$5*AN77,"")</f>
        <v>194.86111426913635</v>
      </c>
      <c r="AM78" s="335">
        <f t="shared" si="30"/>
        <v>32.31407211587876</v>
      </c>
      <c r="AN78" s="360">
        <f aca="true" t="shared" si="56" ref="AN78:AN141">IF(AN77&gt;0.5,AN77-AM78,0)</f>
        <v>23351.019640180486</v>
      </c>
    </row>
    <row r="79" spans="1:40" ht="12.75">
      <c r="A79" s="359">
        <f t="shared" si="31"/>
        <v>43312</v>
      </c>
      <c r="B79" s="334">
        <f t="shared" si="32"/>
        <v>67</v>
      </c>
      <c r="C79" s="335">
        <f t="shared" si="33"/>
        <v>227.1751863850151</v>
      </c>
      <c r="D79" s="335"/>
      <c r="E79" s="335">
        <f t="shared" si="34"/>
        <v>194.59183033483737</v>
      </c>
      <c r="F79" s="335">
        <f aca="true" t="shared" si="57" ref="F79:F142">IF(G78&gt;0.5,C79-E79+D79,"")</f>
        <v>32.58335605017774</v>
      </c>
      <c r="G79" s="360">
        <f t="shared" si="35"/>
        <v>23318.43628413031</v>
      </c>
      <c r="H79" s="336" t="e">
        <f t="shared" si="36"/>
        <v>#VALUE!</v>
      </c>
      <c r="I79" s="333"/>
      <c r="J79" s="359">
        <f t="shared" si="37"/>
        <v>43312</v>
      </c>
      <c r="K79" s="334">
        <f t="shared" si="38"/>
        <v>67</v>
      </c>
      <c r="L79" s="335">
        <f t="shared" si="39"/>
        <v>227.1751863850151</v>
      </c>
      <c r="M79" s="335"/>
      <c r="N79" s="335">
        <f t="shared" si="40"/>
        <v>194.59183033483737</v>
      </c>
      <c r="O79" s="335">
        <f aca="true" t="shared" si="58" ref="O79:O142">IF(P78&gt;0.5,L79-N79+M79,"")</f>
        <v>32.58335605017774</v>
      </c>
      <c r="P79" s="360">
        <f t="shared" si="41"/>
        <v>23318.43628413031</v>
      </c>
      <c r="R79" s="359">
        <f t="shared" si="42"/>
        <v>43312</v>
      </c>
      <c r="S79" s="334">
        <f t="shared" si="43"/>
        <v>67</v>
      </c>
      <c r="T79" s="335">
        <f t="shared" si="44"/>
        <v>227.1751863850151</v>
      </c>
      <c r="U79" s="335"/>
      <c r="V79" s="335">
        <f t="shared" si="45"/>
        <v>194.59183033483737</v>
      </c>
      <c r="W79" s="335">
        <f aca="true" t="shared" si="59" ref="W79:W142">IF(X78&gt;0.5,T79-V79+U79,"")</f>
        <v>32.58335605017774</v>
      </c>
      <c r="X79" s="360">
        <f t="shared" si="46"/>
        <v>23318.43628413031</v>
      </c>
      <c r="Z79" s="359">
        <f t="shared" si="47"/>
        <v>43312</v>
      </c>
      <c r="AA79" s="334">
        <f t="shared" si="48"/>
        <v>67</v>
      </c>
      <c r="AB79" s="335">
        <f t="shared" si="49"/>
        <v>227.1751863850151</v>
      </c>
      <c r="AC79" s="335"/>
      <c r="AD79" s="335">
        <f t="shared" si="50"/>
        <v>194.59183033483737</v>
      </c>
      <c r="AE79" s="335">
        <f aca="true" t="shared" si="60" ref="AE79:AE142">IF(AF78&gt;0.5,AB79-AD79+AC79,"")</f>
        <v>32.58335605017774</v>
      </c>
      <c r="AF79" s="360">
        <f t="shared" si="51"/>
        <v>23318.43628413031</v>
      </c>
      <c r="AH79" s="359">
        <f t="shared" si="52"/>
        <v>43312</v>
      </c>
      <c r="AI79" s="334">
        <f t="shared" si="53"/>
        <v>67</v>
      </c>
      <c r="AJ79" s="335">
        <f t="shared" si="54"/>
        <v>227.1751863850151</v>
      </c>
      <c r="AK79" s="335"/>
      <c r="AL79" s="335">
        <f t="shared" si="55"/>
        <v>194.59183033483737</v>
      </c>
      <c r="AM79" s="335">
        <f aca="true" t="shared" si="61" ref="AM79:AM142">IF(AN78&gt;0.5,AJ79-AL79+AK79,"")</f>
        <v>32.58335605017774</v>
      </c>
      <c r="AN79" s="360">
        <f t="shared" si="56"/>
        <v>23318.43628413031</v>
      </c>
    </row>
    <row r="80" spans="1:40" ht="12.75">
      <c r="A80" s="359">
        <f t="shared" si="31"/>
        <v>43343</v>
      </c>
      <c r="B80" s="334">
        <f t="shared" si="32"/>
        <v>68</v>
      </c>
      <c r="C80" s="335">
        <f t="shared" si="33"/>
        <v>227.1751863850151</v>
      </c>
      <c r="D80" s="335"/>
      <c r="E80" s="335">
        <f t="shared" si="34"/>
        <v>194.32030236775256</v>
      </c>
      <c r="F80" s="335">
        <f t="shared" si="57"/>
        <v>32.85488401726255</v>
      </c>
      <c r="G80" s="360">
        <f t="shared" si="35"/>
        <v>23285.581400113046</v>
      </c>
      <c r="H80" s="336" t="e">
        <f t="shared" si="36"/>
        <v>#VALUE!</v>
      </c>
      <c r="I80" s="333"/>
      <c r="J80" s="359">
        <f t="shared" si="37"/>
        <v>43343</v>
      </c>
      <c r="K80" s="334">
        <f t="shared" si="38"/>
        <v>68</v>
      </c>
      <c r="L80" s="335">
        <f t="shared" si="39"/>
        <v>227.1751863850151</v>
      </c>
      <c r="M80" s="335"/>
      <c r="N80" s="335">
        <f t="shared" si="40"/>
        <v>194.32030236775256</v>
      </c>
      <c r="O80" s="335">
        <f t="shared" si="58"/>
        <v>32.85488401726255</v>
      </c>
      <c r="P80" s="360">
        <f t="shared" si="41"/>
        <v>23285.581400113046</v>
      </c>
      <c r="R80" s="359">
        <f t="shared" si="42"/>
        <v>43343</v>
      </c>
      <c r="S80" s="334">
        <f t="shared" si="43"/>
        <v>68</v>
      </c>
      <c r="T80" s="335">
        <f t="shared" si="44"/>
        <v>227.1751863850151</v>
      </c>
      <c r="U80" s="335"/>
      <c r="V80" s="335">
        <f t="shared" si="45"/>
        <v>194.32030236775256</v>
      </c>
      <c r="W80" s="335">
        <f t="shared" si="59"/>
        <v>32.85488401726255</v>
      </c>
      <c r="X80" s="360">
        <f t="shared" si="46"/>
        <v>23285.581400113046</v>
      </c>
      <c r="Z80" s="359">
        <f t="shared" si="47"/>
        <v>43343</v>
      </c>
      <c r="AA80" s="334">
        <f t="shared" si="48"/>
        <v>68</v>
      </c>
      <c r="AB80" s="335">
        <f t="shared" si="49"/>
        <v>227.1751863850151</v>
      </c>
      <c r="AC80" s="335"/>
      <c r="AD80" s="335">
        <f t="shared" si="50"/>
        <v>194.32030236775256</v>
      </c>
      <c r="AE80" s="335">
        <f t="shared" si="60"/>
        <v>32.85488401726255</v>
      </c>
      <c r="AF80" s="360">
        <f t="shared" si="51"/>
        <v>23285.581400113046</v>
      </c>
      <c r="AH80" s="359">
        <f t="shared" si="52"/>
        <v>43343</v>
      </c>
      <c r="AI80" s="334">
        <f t="shared" si="53"/>
        <v>68</v>
      </c>
      <c r="AJ80" s="335">
        <f t="shared" si="54"/>
        <v>227.1751863850151</v>
      </c>
      <c r="AK80" s="335"/>
      <c r="AL80" s="335">
        <f t="shared" si="55"/>
        <v>194.32030236775256</v>
      </c>
      <c r="AM80" s="335">
        <f t="shared" si="61"/>
        <v>32.85488401726255</v>
      </c>
      <c r="AN80" s="360">
        <f t="shared" si="56"/>
        <v>23285.581400113046</v>
      </c>
    </row>
    <row r="81" spans="1:40" ht="12.75">
      <c r="A81" s="359">
        <f t="shared" si="31"/>
        <v>43373</v>
      </c>
      <c r="B81" s="334">
        <f t="shared" si="32"/>
        <v>69</v>
      </c>
      <c r="C81" s="335">
        <f t="shared" si="33"/>
        <v>227.1751863850151</v>
      </c>
      <c r="D81" s="335"/>
      <c r="E81" s="335">
        <f t="shared" si="34"/>
        <v>194.0465116676087</v>
      </c>
      <c r="F81" s="335">
        <f t="shared" si="57"/>
        <v>33.1286747174064</v>
      </c>
      <c r="G81" s="360">
        <f t="shared" si="35"/>
        <v>23252.45272539564</v>
      </c>
      <c r="H81" s="336" t="e">
        <f t="shared" si="36"/>
        <v>#VALUE!</v>
      </c>
      <c r="I81" s="333"/>
      <c r="J81" s="359">
        <f t="shared" si="37"/>
        <v>43373</v>
      </c>
      <c r="K81" s="334">
        <f t="shared" si="38"/>
        <v>69</v>
      </c>
      <c r="L81" s="335">
        <f t="shared" si="39"/>
        <v>227.1751863850151</v>
      </c>
      <c r="M81" s="335"/>
      <c r="N81" s="335">
        <f t="shared" si="40"/>
        <v>194.0465116676087</v>
      </c>
      <c r="O81" s="335">
        <f t="shared" si="58"/>
        <v>33.1286747174064</v>
      </c>
      <c r="P81" s="360">
        <f t="shared" si="41"/>
        <v>23252.45272539564</v>
      </c>
      <c r="R81" s="359">
        <f t="shared" si="42"/>
        <v>43373</v>
      </c>
      <c r="S81" s="334">
        <f t="shared" si="43"/>
        <v>69</v>
      </c>
      <c r="T81" s="335">
        <f t="shared" si="44"/>
        <v>227.1751863850151</v>
      </c>
      <c r="U81" s="335"/>
      <c r="V81" s="335">
        <f t="shared" si="45"/>
        <v>194.0465116676087</v>
      </c>
      <c r="W81" s="335">
        <f t="shared" si="59"/>
        <v>33.1286747174064</v>
      </c>
      <c r="X81" s="360">
        <f t="shared" si="46"/>
        <v>23252.45272539564</v>
      </c>
      <c r="Z81" s="359">
        <f t="shared" si="47"/>
        <v>43373</v>
      </c>
      <c r="AA81" s="334">
        <f t="shared" si="48"/>
        <v>69</v>
      </c>
      <c r="AB81" s="335">
        <f t="shared" si="49"/>
        <v>227.1751863850151</v>
      </c>
      <c r="AC81" s="335"/>
      <c r="AD81" s="335">
        <f t="shared" si="50"/>
        <v>194.0465116676087</v>
      </c>
      <c r="AE81" s="335">
        <f t="shared" si="60"/>
        <v>33.1286747174064</v>
      </c>
      <c r="AF81" s="360">
        <f t="shared" si="51"/>
        <v>23252.45272539564</v>
      </c>
      <c r="AH81" s="359">
        <f t="shared" si="52"/>
        <v>43373</v>
      </c>
      <c r="AI81" s="334">
        <f t="shared" si="53"/>
        <v>69</v>
      </c>
      <c r="AJ81" s="335">
        <f t="shared" si="54"/>
        <v>227.1751863850151</v>
      </c>
      <c r="AK81" s="335"/>
      <c r="AL81" s="335">
        <f t="shared" si="55"/>
        <v>194.0465116676087</v>
      </c>
      <c r="AM81" s="335">
        <f t="shared" si="61"/>
        <v>33.1286747174064</v>
      </c>
      <c r="AN81" s="360">
        <f t="shared" si="56"/>
        <v>23252.45272539564</v>
      </c>
    </row>
    <row r="82" spans="1:40" ht="12.75">
      <c r="A82" s="359">
        <f t="shared" si="31"/>
        <v>43404</v>
      </c>
      <c r="B82" s="334">
        <f t="shared" si="32"/>
        <v>70</v>
      </c>
      <c r="C82" s="335">
        <f t="shared" si="33"/>
        <v>227.1751863850151</v>
      </c>
      <c r="D82" s="335"/>
      <c r="E82" s="335">
        <f t="shared" si="34"/>
        <v>193.770439378297</v>
      </c>
      <c r="F82" s="335">
        <f t="shared" si="57"/>
        <v>33.40474700671811</v>
      </c>
      <c r="G82" s="360">
        <f t="shared" si="35"/>
        <v>23219.04797838892</v>
      </c>
      <c r="H82" s="336" t="e">
        <f t="shared" si="36"/>
        <v>#VALUE!</v>
      </c>
      <c r="I82" s="333"/>
      <c r="J82" s="359">
        <f t="shared" si="37"/>
        <v>43404</v>
      </c>
      <c r="K82" s="334">
        <f t="shared" si="38"/>
        <v>70</v>
      </c>
      <c r="L82" s="335">
        <f t="shared" si="39"/>
        <v>227.1751863850151</v>
      </c>
      <c r="M82" s="335"/>
      <c r="N82" s="335">
        <f t="shared" si="40"/>
        <v>193.770439378297</v>
      </c>
      <c r="O82" s="335">
        <f t="shared" si="58"/>
        <v>33.40474700671811</v>
      </c>
      <c r="P82" s="360">
        <f t="shared" si="41"/>
        <v>23219.04797838892</v>
      </c>
      <c r="R82" s="359">
        <f t="shared" si="42"/>
        <v>43404</v>
      </c>
      <c r="S82" s="334">
        <f t="shared" si="43"/>
        <v>70</v>
      </c>
      <c r="T82" s="335">
        <f t="shared" si="44"/>
        <v>227.1751863850151</v>
      </c>
      <c r="U82" s="335"/>
      <c r="V82" s="335">
        <f t="shared" si="45"/>
        <v>193.770439378297</v>
      </c>
      <c r="W82" s="335">
        <f t="shared" si="59"/>
        <v>33.40474700671811</v>
      </c>
      <c r="X82" s="360">
        <f t="shared" si="46"/>
        <v>23219.04797838892</v>
      </c>
      <c r="Z82" s="359">
        <f t="shared" si="47"/>
        <v>43404</v>
      </c>
      <c r="AA82" s="334">
        <f t="shared" si="48"/>
        <v>70</v>
      </c>
      <c r="AB82" s="335">
        <f t="shared" si="49"/>
        <v>227.1751863850151</v>
      </c>
      <c r="AC82" s="335"/>
      <c r="AD82" s="335">
        <f t="shared" si="50"/>
        <v>193.770439378297</v>
      </c>
      <c r="AE82" s="335">
        <f t="shared" si="60"/>
        <v>33.40474700671811</v>
      </c>
      <c r="AF82" s="360">
        <f t="shared" si="51"/>
        <v>23219.04797838892</v>
      </c>
      <c r="AH82" s="359">
        <f t="shared" si="52"/>
        <v>43404</v>
      </c>
      <c r="AI82" s="334">
        <f t="shared" si="53"/>
        <v>70</v>
      </c>
      <c r="AJ82" s="335">
        <f t="shared" si="54"/>
        <v>227.1751863850151</v>
      </c>
      <c r="AK82" s="335"/>
      <c r="AL82" s="335">
        <f t="shared" si="55"/>
        <v>193.770439378297</v>
      </c>
      <c r="AM82" s="335">
        <f t="shared" si="61"/>
        <v>33.40474700671811</v>
      </c>
      <c r="AN82" s="360">
        <f t="shared" si="56"/>
        <v>23219.04797838892</v>
      </c>
    </row>
    <row r="83" spans="1:40" ht="12.75">
      <c r="A83" s="359">
        <f t="shared" si="31"/>
        <v>43434</v>
      </c>
      <c r="B83" s="334">
        <f t="shared" si="32"/>
        <v>71</v>
      </c>
      <c r="C83" s="335">
        <f t="shared" si="33"/>
        <v>227.1751863850151</v>
      </c>
      <c r="D83" s="335"/>
      <c r="E83" s="335">
        <f t="shared" si="34"/>
        <v>193.49206648657434</v>
      </c>
      <c r="F83" s="335">
        <f t="shared" si="57"/>
        <v>33.683119898440765</v>
      </c>
      <c r="G83" s="360">
        <f t="shared" si="35"/>
        <v>23185.36485849048</v>
      </c>
      <c r="H83" s="336" t="e">
        <f t="shared" si="36"/>
        <v>#VALUE!</v>
      </c>
      <c r="I83" s="333"/>
      <c r="J83" s="359">
        <f t="shared" si="37"/>
        <v>43434</v>
      </c>
      <c r="K83" s="334">
        <f t="shared" si="38"/>
        <v>71</v>
      </c>
      <c r="L83" s="335">
        <f t="shared" si="39"/>
        <v>227.1751863850151</v>
      </c>
      <c r="M83" s="335"/>
      <c r="N83" s="335">
        <f t="shared" si="40"/>
        <v>193.49206648657434</v>
      </c>
      <c r="O83" s="335">
        <f t="shared" si="58"/>
        <v>33.683119898440765</v>
      </c>
      <c r="P83" s="360">
        <f t="shared" si="41"/>
        <v>23185.36485849048</v>
      </c>
      <c r="R83" s="359">
        <f t="shared" si="42"/>
        <v>43434</v>
      </c>
      <c r="S83" s="334">
        <f t="shared" si="43"/>
        <v>71</v>
      </c>
      <c r="T83" s="335">
        <f t="shared" si="44"/>
        <v>227.1751863850151</v>
      </c>
      <c r="U83" s="335"/>
      <c r="V83" s="335">
        <f t="shared" si="45"/>
        <v>193.49206648657434</v>
      </c>
      <c r="W83" s="335">
        <f t="shared" si="59"/>
        <v>33.683119898440765</v>
      </c>
      <c r="X83" s="360">
        <f t="shared" si="46"/>
        <v>23185.36485849048</v>
      </c>
      <c r="Z83" s="359">
        <f t="shared" si="47"/>
        <v>43434</v>
      </c>
      <c r="AA83" s="334">
        <f t="shared" si="48"/>
        <v>71</v>
      </c>
      <c r="AB83" s="335">
        <f t="shared" si="49"/>
        <v>227.1751863850151</v>
      </c>
      <c r="AC83" s="335"/>
      <c r="AD83" s="335">
        <f t="shared" si="50"/>
        <v>193.49206648657434</v>
      </c>
      <c r="AE83" s="335">
        <f t="shared" si="60"/>
        <v>33.683119898440765</v>
      </c>
      <c r="AF83" s="360">
        <f t="shared" si="51"/>
        <v>23185.36485849048</v>
      </c>
      <c r="AH83" s="359">
        <f t="shared" si="52"/>
        <v>43434</v>
      </c>
      <c r="AI83" s="334">
        <f t="shared" si="53"/>
        <v>71</v>
      </c>
      <c r="AJ83" s="335">
        <f t="shared" si="54"/>
        <v>227.1751863850151</v>
      </c>
      <c r="AK83" s="335"/>
      <c r="AL83" s="335">
        <f t="shared" si="55"/>
        <v>193.49206648657434</v>
      </c>
      <c r="AM83" s="335">
        <f t="shared" si="61"/>
        <v>33.683119898440765</v>
      </c>
      <c r="AN83" s="360">
        <f t="shared" si="56"/>
        <v>23185.36485849048</v>
      </c>
    </row>
    <row r="84" spans="1:40" ht="12.75">
      <c r="A84" s="359">
        <f t="shared" si="31"/>
        <v>43465</v>
      </c>
      <c r="B84" s="334">
        <f t="shared" si="32"/>
        <v>72</v>
      </c>
      <c r="C84" s="335">
        <f t="shared" si="33"/>
        <v>227.1751863850151</v>
      </c>
      <c r="D84" s="335"/>
      <c r="E84" s="335">
        <f t="shared" si="34"/>
        <v>193.211373820754</v>
      </c>
      <c r="F84" s="335">
        <f t="shared" si="57"/>
        <v>33.963812564261104</v>
      </c>
      <c r="G84" s="360">
        <f t="shared" si="35"/>
        <v>23151.40104592622</v>
      </c>
      <c r="H84" s="336" t="e">
        <f t="shared" si="36"/>
        <v>#VALUE!</v>
      </c>
      <c r="I84" s="333"/>
      <c r="J84" s="359">
        <f t="shared" si="37"/>
        <v>43465</v>
      </c>
      <c r="K84" s="334">
        <f t="shared" si="38"/>
        <v>72</v>
      </c>
      <c r="L84" s="335">
        <f t="shared" si="39"/>
        <v>227.1751863850151</v>
      </c>
      <c r="M84" s="335"/>
      <c r="N84" s="335">
        <f t="shared" si="40"/>
        <v>193.211373820754</v>
      </c>
      <c r="O84" s="335">
        <f t="shared" si="58"/>
        <v>33.963812564261104</v>
      </c>
      <c r="P84" s="360">
        <f t="shared" si="41"/>
        <v>23151.40104592622</v>
      </c>
      <c r="R84" s="359">
        <f t="shared" si="42"/>
        <v>43465</v>
      </c>
      <c r="S84" s="334">
        <f t="shared" si="43"/>
        <v>72</v>
      </c>
      <c r="T84" s="335">
        <f t="shared" si="44"/>
        <v>227.1751863850151</v>
      </c>
      <c r="U84" s="335"/>
      <c r="V84" s="335">
        <f t="shared" si="45"/>
        <v>193.211373820754</v>
      </c>
      <c r="W84" s="335">
        <f t="shared" si="59"/>
        <v>33.963812564261104</v>
      </c>
      <c r="X84" s="360">
        <f t="shared" si="46"/>
        <v>23151.40104592622</v>
      </c>
      <c r="Z84" s="359">
        <f t="shared" si="47"/>
        <v>43465</v>
      </c>
      <c r="AA84" s="334">
        <f t="shared" si="48"/>
        <v>72</v>
      </c>
      <c r="AB84" s="335">
        <f t="shared" si="49"/>
        <v>227.1751863850151</v>
      </c>
      <c r="AC84" s="335"/>
      <c r="AD84" s="335">
        <f t="shared" si="50"/>
        <v>193.211373820754</v>
      </c>
      <c r="AE84" s="335">
        <f t="shared" si="60"/>
        <v>33.963812564261104</v>
      </c>
      <c r="AF84" s="360">
        <f t="shared" si="51"/>
        <v>23151.40104592622</v>
      </c>
      <c r="AH84" s="359">
        <f t="shared" si="52"/>
        <v>43465</v>
      </c>
      <c r="AI84" s="334">
        <f t="shared" si="53"/>
        <v>72</v>
      </c>
      <c r="AJ84" s="335">
        <f t="shared" si="54"/>
        <v>227.1751863850151</v>
      </c>
      <c r="AK84" s="335"/>
      <c r="AL84" s="335">
        <f t="shared" si="55"/>
        <v>193.211373820754</v>
      </c>
      <c r="AM84" s="335">
        <f t="shared" si="61"/>
        <v>33.963812564261104</v>
      </c>
      <c r="AN84" s="360">
        <f t="shared" si="56"/>
        <v>23151.40104592622</v>
      </c>
    </row>
    <row r="85" spans="1:40" ht="12.75">
      <c r="A85" s="359">
        <f t="shared" si="31"/>
        <v>43496</v>
      </c>
      <c r="B85" s="334">
        <f t="shared" si="32"/>
        <v>73</v>
      </c>
      <c r="C85" s="335">
        <f t="shared" si="33"/>
        <v>227.1751863850151</v>
      </c>
      <c r="D85" s="335"/>
      <c r="E85" s="335">
        <f t="shared" si="34"/>
        <v>192.92834204938518</v>
      </c>
      <c r="F85" s="335">
        <f t="shared" si="57"/>
        <v>34.24684433562993</v>
      </c>
      <c r="G85" s="360">
        <f t="shared" si="35"/>
        <v>23117.15420159059</v>
      </c>
      <c r="H85" s="336" t="e">
        <f t="shared" si="36"/>
        <v>#VALUE!</v>
      </c>
      <c r="I85" s="333"/>
      <c r="J85" s="359">
        <f t="shared" si="37"/>
        <v>43496</v>
      </c>
      <c r="K85" s="334">
        <f t="shared" si="38"/>
        <v>73</v>
      </c>
      <c r="L85" s="335">
        <f t="shared" si="39"/>
        <v>227.1751863850151</v>
      </c>
      <c r="M85" s="335"/>
      <c r="N85" s="335">
        <f t="shared" si="40"/>
        <v>192.92834204938518</v>
      </c>
      <c r="O85" s="335">
        <f t="shared" si="58"/>
        <v>34.24684433562993</v>
      </c>
      <c r="P85" s="360">
        <f t="shared" si="41"/>
        <v>23117.15420159059</v>
      </c>
      <c r="R85" s="359">
        <f t="shared" si="42"/>
        <v>43496</v>
      </c>
      <c r="S85" s="334">
        <f t="shared" si="43"/>
        <v>73</v>
      </c>
      <c r="T85" s="335">
        <f t="shared" si="44"/>
        <v>227.1751863850151</v>
      </c>
      <c r="U85" s="335"/>
      <c r="V85" s="335">
        <f t="shared" si="45"/>
        <v>192.92834204938518</v>
      </c>
      <c r="W85" s="335">
        <f t="shared" si="59"/>
        <v>34.24684433562993</v>
      </c>
      <c r="X85" s="360">
        <f t="shared" si="46"/>
        <v>23117.15420159059</v>
      </c>
      <c r="Z85" s="359">
        <f t="shared" si="47"/>
        <v>43496</v>
      </c>
      <c r="AA85" s="334">
        <f t="shared" si="48"/>
        <v>73</v>
      </c>
      <c r="AB85" s="335">
        <f t="shared" si="49"/>
        <v>227.1751863850151</v>
      </c>
      <c r="AC85" s="335"/>
      <c r="AD85" s="335">
        <f t="shared" si="50"/>
        <v>192.92834204938518</v>
      </c>
      <c r="AE85" s="335">
        <f t="shared" si="60"/>
        <v>34.24684433562993</v>
      </c>
      <c r="AF85" s="360">
        <f t="shared" si="51"/>
        <v>23117.15420159059</v>
      </c>
      <c r="AH85" s="359">
        <f t="shared" si="52"/>
        <v>43496</v>
      </c>
      <c r="AI85" s="334">
        <f t="shared" si="53"/>
        <v>73</v>
      </c>
      <c r="AJ85" s="335">
        <f t="shared" si="54"/>
        <v>227.1751863850151</v>
      </c>
      <c r="AK85" s="335"/>
      <c r="AL85" s="335">
        <f t="shared" si="55"/>
        <v>192.92834204938518</v>
      </c>
      <c r="AM85" s="335">
        <f t="shared" si="61"/>
        <v>34.24684433562993</v>
      </c>
      <c r="AN85" s="360">
        <f t="shared" si="56"/>
        <v>23117.15420159059</v>
      </c>
    </row>
    <row r="86" spans="1:40" ht="12.75">
      <c r="A86" s="359">
        <f t="shared" si="31"/>
        <v>43524</v>
      </c>
      <c r="B86" s="334">
        <f t="shared" si="32"/>
        <v>74</v>
      </c>
      <c r="C86" s="335">
        <f t="shared" si="33"/>
        <v>227.1751863850151</v>
      </c>
      <c r="D86" s="335"/>
      <c r="E86" s="335">
        <f t="shared" si="34"/>
        <v>192.6429516799216</v>
      </c>
      <c r="F86" s="335">
        <f t="shared" si="57"/>
        <v>34.532234705093515</v>
      </c>
      <c r="G86" s="360">
        <f t="shared" si="35"/>
        <v>23082.621966885497</v>
      </c>
      <c r="H86" s="336" t="e">
        <f t="shared" si="36"/>
        <v>#VALUE!</v>
      </c>
      <c r="I86" s="333"/>
      <c r="J86" s="359">
        <f t="shared" si="37"/>
        <v>43524</v>
      </c>
      <c r="K86" s="334">
        <f t="shared" si="38"/>
        <v>74</v>
      </c>
      <c r="L86" s="335">
        <f t="shared" si="39"/>
        <v>227.1751863850151</v>
      </c>
      <c r="M86" s="335"/>
      <c r="N86" s="335">
        <f t="shared" si="40"/>
        <v>192.6429516799216</v>
      </c>
      <c r="O86" s="335">
        <f t="shared" si="58"/>
        <v>34.532234705093515</v>
      </c>
      <c r="P86" s="360">
        <f t="shared" si="41"/>
        <v>23082.621966885497</v>
      </c>
      <c r="R86" s="359">
        <f t="shared" si="42"/>
        <v>43524</v>
      </c>
      <c r="S86" s="334">
        <f t="shared" si="43"/>
        <v>74</v>
      </c>
      <c r="T86" s="335">
        <f t="shared" si="44"/>
        <v>227.1751863850151</v>
      </c>
      <c r="U86" s="335"/>
      <c r="V86" s="335">
        <f t="shared" si="45"/>
        <v>192.6429516799216</v>
      </c>
      <c r="W86" s="335">
        <f t="shared" si="59"/>
        <v>34.532234705093515</v>
      </c>
      <c r="X86" s="360">
        <f t="shared" si="46"/>
        <v>23082.621966885497</v>
      </c>
      <c r="Z86" s="359">
        <f t="shared" si="47"/>
        <v>43524</v>
      </c>
      <c r="AA86" s="334">
        <f t="shared" si="48"/>
        <v>74</v>
      </c>
      <c r="AB86" s="335">
        <f t="shared" si="49"/>
        <v>227.1751863850151</v>
      </c>
      <c r="AC86" s="335"/>
      <c r="AD86" s="335">
        <f t="shared" si="50"/>
        <v>192.6429516799216</v>
      </c>
      <c r="AE86" s="335">
        <f t="shared" si="60"/>
        <v>34.532234705093515</v>
      </c>
      <c r="AF86" s="360">
        <f t="shared" si="51"/>
        <v>23082.621966885497</v>
      </c>
      <c r="AH86" s="359">
        <f t="shared" si="52"/>
        <v>43524</v>
      </c>
      <c r="AI86" s="334">
        <f t="shared" si="53"/>
        <v>74</v>
      </c>
      <c r="AJ86" s="335">
        <f t="shared" si="54"/>
        <v>227.1751863850151</v>
      </c>
      <c r="AK86" s="335"/>
      <c r="AL86" s="335">
        <f t="shared" si="55"/>
        <v>192.6429516799216</v>
      </c>
      <c r="AM86" s="335">
        <f t="shared" si="61"/>
        <v>34.532234705093515</v>
      </c>
      <c r="AN86" s="360">
        <f t="shared" si="56"/>
        <v>23082.621966885497</v>
      </c>
    </row>
    <row r="87" spans="1:40" ht="12.75">
      <c r="A87" s="359">
        <f t="shared" si="31"/>
        <v>43555</v>
      </c>
      <c r="B87" s="334">
        <f t="shared" si="32"/>
        <v>75</v>
      </c>
      <c r="C87" s="335">
        <f t="shared" si="33"/>
        <v>227.1751863850151</v>
      </c>
      <c r="D87" s="335"/>
      <c r="E87" s="335">
        <f t="shared" si="34"/>
        <v>192.35518305737915</v>
      </c>
      <c r="F87" s="335">
        <f t="shared" si="57"/>
        <v>34.82000332763596</v>
      </c>
      <c r="G87" s="360">
        <f t="shared" si="35"/>
        <v>23047.80196355786</v>
      </c>
      <c r="H87" s="336" t="e">
        <f t="shared" si="36"/>
        <v>#VALUE!</v>
      </c>
      <c r="I87" s="333"/>
      <c r="J87" s="359">
        <f t="shared" si="37"/>
        <v>43555</v>
      </c>
      <c r="K87" s="334">
        <f t="shared" si="38"/>
        <v>75</v>
      </c>
      <c r="L87" s="335">
        <f t="shared" si="39"/>
        <v>227.1751863850151</v>
      </c>
      <c r="M87" s="335"/>
      <c r="N87" s="335">
        <f t="shared" si="40"/>
        <v>192.35518305737915</v>
      </c>
      <c r="O87" s="335">
        <f t="shared" si="58"/>
        <v>34.82000332763596</v>
      </c>
      <c r="P87" s="360">
        <f t="shared" si="41"/>
        <v>23047.80196355786</v>
      </c>
      <c r="R87" s="359">
        <f t="shared" si="42"/>
        <v>43555</v>
      </c>
      <c r="S87" s="334">
        <f t="shared" si="43"/>
        <v>75</v>
      </c>
      <c r="T87" s="335">
        <f t="shared" si="44"/>
        <v>227.1751863850151</v>
      </c>
      <c r="U87" s="335"/>
      <c r="V87" s="335">
        <f t="shared" si="45"/>
        <v>192.35518305737915</v>
      </c>
      <c r="W87" s="335">
        <f t="shared" si="59"/>
        <v>34.82000332763596</v>
      </c>
      <c r="X87" s="360">
        <f t="shared" si="46"/>
        <v>23047.80196355786</v>
      </c>
      <c r="Z87" s="359">
        <f t="shared" si="47"/>
        <v>43555</v>
      </c>
      <c r="AA87" s="334">
        <f t="shared" si="48"/>
        <v>75</v>
      </c>
      <c r="AB87" s="335">
        <f t="shared" si="49"/>
        <v>227.1751863850151</v>
      </c>
      <c r="AC87" s="335"/>
      <c r="AD87" s="335">
        <f t="shared" si="50"/>
        <v>192.35518305737915</v>
      </c>
      <c r="AE87" s="335">
        <f t="shared" si="60"/>
        <v>34.82000332763596</v>
      </c>
      <c r="AF87" s="360">
        <f t="shared" si="51"/>
        <v>23047.80196355786</v>
      </c>
      <c r="AH87" s="359">
        <f t="shared" si="52"/>
        <v>43555</v>
      </c>
      <c r="AI87" s="334">
        <f t="shared" si="53"/>
        <v>75</v>
      </c>
      <c r="AJ87" s="335">
        <f t="shared" si="54"/>
        <v>227.1751863850151</v>
      </c>
      <c r="AK87" s="335"/>
      <c r="AL87" s="335">
        <f t="shared" si="55"/>
        <v>192.35518305737915</v>
      </c>
      <c r="AM87" s="335">
        <f t="shared" si="61"/>
        <v>34.82000332763596</v>
      </c>
      <c r="AN87" s="360">
        <f t="shared" si="56"/>
        <v>23047.80196355786</v>
      </c>
    </row>
    <row r="88" spans="1:40" ht="12.75">
      <c r="A88" s="359">
        <f t="shared" si="31"/>
        <v>43585</v>
      </c>
      <c r="B88" s="334">
        <f t="shared" si="32"/>
        <v>76</v>
      </c>
      <c r="C88" s="335">
        <f t="shared" si="33"/>
        <v>227.1751863850151</v>
      </c>
      <c r="D88" s="335"/>
      <c r="E88" s="335">
        <f t="shared" si="34"/>
        <v>192.06501636298216</v>
      </c>
      <c r="F88" s="335">
        <f t="shared" si="57"/>
        <v>35.110170022032946</v>
      </c>
      <c r="G88" s="360">
        <f t="shared" si="35"/>
        <v>23012.69179353583</v>
      </c>
      <c r="H88" s="336" t="e">
        <f t="shared" si="36"/>
        <v>#VALUE!</v>
      </c>
      <c r="I88" s="333"/>
      <c r="J88" s="359">
        <f t="shared" si="37"/>
        <v>43585</v>
      </c>
      <c r="K88" s="334">
        <f t="shared" si="38"/>
        <v>76</v>
      </c>
      <c r="L88" s="335">
        <f t="shared" si="39"/>
        <v>227.1751863850151</v>
      </c>
      <c r="M88" s="335"/>
      <c r="N88" s="335">
        <f t="shared" si="40"/>
        <v>192.06501636298216</v>
      </c>
      <c r="O88" s="335">
        <f t="shared" si="58"/>
        <v>35.110170022032946</v>
      </c>
      <c r="P88" s="360">
        <f t="shared" si="41"/>
        <v>23012.69179353583</v>
      </c>
      <c r="R88" s="359">
        <f t="shared" si="42"/>
        <v>43585</v>
      </c>
      <c r="S88" s="334">
        <f t="shared" si="43"/>
        <v>76</v>
      </c>
      <c r="T88" s="335">
        <f t="shared" si="44"/>
        <v>227.1751863850151</v>
      </c>
      <c r="U88" s="335"/>
      <c r="V88" s="335">
        <f t="shared" si="45"/>
        <v>192.06501636298216</v>
      </c>
      <c r="W88" s="335">
        <f t="shared" si="59"/>
        <v>35.110170022032946</v>
      </c>
      <c r="X88" s="360">
        <f t="shared" si="46"/>
        <v>23012.69179353583</v>
      </c>
      <c r="Z88" s="359">
        <f t="shared" si="47"/>
        <v>43585</v>
      </c>
      <c r="AA88" s="334">
        <f t="shared" si="48"/>
        <v>76</v>
      </c>
      <c r="AB88" s="335">
        <f t="shared" si="49"/>
        <v>227.1751863850151</v>
      </c>
      <c r="AC88" s="335"/>
      <c r="AD88" s="335">
        <f t="shared" si="50"/>
        <v>192.06501636298216</v>
      </c>
      <c r="AE88" s="335">
        <f t="shared" si="60"/>
        <v>35.110170022032946</v>
      </c>
      <c r="AF88" s="360">
        <f t="shared" si="51"/>
        <v>23012.69179353583</v>
      </c>
      <c r="AH88" s="359">
        <f t="shared" si="52"/>
        <v>43585</v>
      </c>
      <c r="AI88" s="334">
        <f t="shared" si="53"/>
        <v>76</v>
      </c>
      <c r="AJ88" s="335">
        <f t="shared" si="54"/>
        <v>227.1751863850151</v>
      </c>
      <c r="AK88" s="335"/>
      <c r="AL88" s="335">
        <f t="shared" si="55"/>
        <v>192.06501636298216</v>
      </c>
      <c r="AM88" s="335">
        <f t="shared" si="61"/>
        <v>35.110170022032946</v>
      </c>
      <c r="AN88" s="360">
        <f t="shared" si="56"/>
        <v>23012.69179353583</v>
      </c>
    </row>
    <row r="89" spans="1:40" ht="12.75">
      <c r="A89" s="359">
        <f t="shared" si="31"/>
        <v>43616</v>
      </c>
      <c r="B89" s="334">
        <f t="shared" si="32"/>
        <v>77</v>
      </c>
      <c r="C89" s="335">
        <f t="shared" si="33"/>
        <v>227.1751863850151</v>
      </c>
      <c r="D89" s="335"/>
      <c r="E89" s="335">
        <f t="shared" si="34"/>
        <v>191.77243161279858</v>
      </c>
      <c r="F89" s="335">
        <f t="shared" si="57"/>
        <v>35.402754772216525</v>
      </c>
      <c r="G89" s="360">
        <f t="shared" si="35"/>
        <v>22977.28903876361</v>
      </c>
      <c r="H89" s="336" t="e">
        <f t="shared" si="36"/>
        <v>#VALUE!</v>
      </c>
      <c r="I89" s="333"/>
      <c r="J89" s="359">
        <f t="shared" si="37"/>
        <v>43616</v>
      </c>
      <c r="K89" s="334">
        <f t="shared" si="38"/>
        <v>77</v>
      </c>
      <c r="L89" s="335">
        <f t="shared" si="39"/>
        <v>227.1751863850151</v>
      </c>
      <c r="M89" s="335"/>
      <c r="N89" s="335">
        <f t="shared" si="40"/>
        <v>191.77243161279858</v>
      </c>
      <c r="O89" s="335">
        <f t="shared" si="58"/>
        <v>35.402754772216525</v>
      </c>
      <c r="P89" s="360">
        <f t="shared" si="41"/>
        <v>22977.28903876361</v>
      </c>
      <c r="R89" s="359">
        <f t="shared" si="42"/>
        <v>43616</v>
      </c>
      <c r="S89" s="334">
        <f t="shared" si="43"/>
        <v>77</v>
      </c>
      <c r="T89" s="335">
        <f t="shared" si="44"/>
        <v>227.1751863850151</v>
      </c>
      <c r="U89" s="335"/>
      <c r="V89" s="335">
        <f t="shared" si="45"/>
        <v>191.77243161279858</v>
      </c>
      <c r="W89" s="335">
        <f t="shared" si="59"/>
        <v>35.402754772216525</v>
      </c>
      <c r="X89" s="360">
        <f t="shared" si="46"/>
        <v>22977.28903876361</v>
      </c>
      <c r="Z89" s="359">
        <f t="shared" si="47"/>
        <v>43616</v>
      </c>
      <c r="AA89" s="334">
        <f t="shared" si="48"/>
        <v>77</v>
      </c>
      <c r="AB89" s="335">
        <f t="shared" si="49"/>
        <v>227.1751863850151</v>
      </c>
      <c r="AC89" s="335"/>
      <c r="AD89" s="335">
        <f t="shared" si="50"/>
        <v>191.77243161279858</v>
      </c>
      <c r="AE89" s="335">
        <f t="shared" si="60"/>
        <v>35.402754772216525</v>
      </c>
      <c r="AF89" s="360">
        <f t="shared" si="51"/>
        <v>22977.28903876361</v>
      </c>
      <c r="AH89" s="359">
        <f t="shared" si="52"/>
        <v>43616</v>
      </c>
      <c r="AI89" s="334">
        <f t="shared" si="53"/>
        <v>77</v>
      </c>
      <c r="AJ89" s="335">
        <f t="shared" si="54"/>
        <v>227.1751863850151</v>
      </c>
      <c r="AK89" s="335"/>
      <c r="AL89" s="335">
        <f t="shared" si="55"/>
        <v>191.77243161279858</v>
      </c>
      <c r="AM89" s="335">
        <f t="shared" si="61"/>
        <v>35.402754772216525</v>
      </c>
      <c r="AN89" s="360">
        <f t="shared" si="56"/>
        <v>22977.28903876361</v>
      </c>
    </row>
    <row r="90" spans="1:40" ht="12.75">
      <c r="A90" s="359">
        <f t="shared" si="31"/>
        <v>43646</v>
      </c>
      <c r="B90" s="334">
        <f t="shared" si="32"/>
        <v>78</v>
      </c>
      <c r="C90" s="335">
        <f t="shared" si="33"/>
        <v>227.1751863850151</v>
      </c>
      <c r="D90" s="335"/>
      <c r="E90" s="335">
        <f t="shared" si="34"/>
        <v>191.47740865636342</v>
      </c>
      <c r="F90" s="335">
        <f t="shared" si="57"/>
        <v>35.69777772865169</v>
      </c>
      <c r="G90" s="360">
        <f t="shared" si="35"/>
        <v>22941.59126103496</v>
      </c>
      <c r="H90" s="336" t="e">
        <f t="shared" si="36"/>
        <v>#VALUE!</v>
      </c>
      <c r="I90" s="333"/>
      <c r="J90" s="359">
        <f t="shared" si="37"/>
        <v>43646</v>
      </c>
      <c r="K90" s="334">
        <f t="shared" si="38"/>
        <v>78</v>
      </c>
      <c r="L90" s="335">
        <f t="shared" si="39"/>
        <v>227.1751863850151</v>
      </c>
      <c r="M90" s="335"/>
      <c r="N90" s="335">
        <f t="shared" si="40"/>
        <v>191.47740865636342</v>
      </c>
      <c r="O90" s="335">
        <f t="shared" si="58"/>
        <v>35.69777772865169</v>
      </c>
      <c r="P90" s="360">
        <f t="shared" si="41"/>
        <v>22941.59126103496</v>
      </c>
      <c r="R90" s="359">
        <f t="shared" si="42"/>
        <v>43646</v>
      </c>
      <c r="S90" s="334">
        <f t="shared" si="43"/>
        <v>78</v>
      </c>
      <c r="T90" s="335">
        <f t="shared" si="44"/>
        <v>227.1751863850151</v>
      </c>
      <c r="U90" s="335"/>
      <c r="V90" s="335">
        <f t="shared" si="45"/>
        <v>191.47740865636342</v>
      </c>
      <c r="W90" s="335">
        <f t="shared" si="59"/>
        <v>35.69777772865169</v>
      </c>
      <c r="X90" s="360">
        <f t="shared" si="46"/>
        <v>22941.59126103496</v>
      </c>
      <c r="Z90" s="359">
        <f t="shared" si="47"/>
        <v>43646</v>
      </c>
      <c r="AA90" s="334">
        <f t="shared" si="48"/>
        <v>78</v>
      </c>
      <c r="AB90" s="335">
        <f t="shared" si="49"/>
        <v>227.1751863850151</v>
      </c>
      <c r="AC90" s="335"/>
      <c r="AD90" s="335">
        <f t="shared" si="50"/>
        <v>191.47740865636342</v>
      </c>
      <c r="AE90" s="335">
        <f t="shared" si="60"/>
        <v>35.69777772865169</v>
      </c>
      <c r="AF90" s="360">
        <f t="shared" si="51"/>
        <v>22941.59126103496</v>
      </c>
      <c r="AH90" s="359">
        <f t="shared" si="52"/>
        <v>43646</v>
      </c>
      <c r="AI90" s="334">
        <f t="shared" si="53"/>
        <v>78</v>
      </c>
      <c r="AJ90" s="335">
        <f t="shared" si="54"/>
        <v>227.1751863850151</v>
      </c>
      <c r="AK90" s="335"/>
      <c r="AL90" s="335">
        <f t="shared" si="55"/>
        <v>191.47740865636342</v>
      </c>
      <c r="AM90" s="335">
        <f t="shared" si="61"/>
        <v>35.69777772865169</v>
      </c>
      <c r="AN90" s="360">
        <f t="shared" si="56"/>
        <v>22941.59126103496</v>
      </c>
    </row>
    <row r="91" spans="1:40" ht="12.75">
      <c r="A91" s="359">
        <f t="shared" si="31"/>
        <v>43677</v>
      </c>
      <c r="B91" s="334">
        <f t="shared" si="32"/>
        <v>79</v>
      </c>
      <c r="C91" s="335">
        <f t="shared" si="33"/>
        <v>227.1751863850151</v>
      </c>
      <c r="D91" s="335"/>
      <c r="E91" s="335">
        <f t="shared" si="34"/>
        <v>191.1799271752913</v>
      </c>
      <c r="F91" s="335">
        <f t="shared" si="57"/>
        <v>35.9952592097238</v>
      </c>
      <c r="G91" s="360">
        <f t="shared" si="35"/>
        <v>22905.596001825234</v>
      </c>
      <c r="H91" s="336" t="e">
        <f t="shared" si="36"/>
        <v>#VALUE!</v>
      </c>
      <c r="I91" s="333"/>
      <c r="J91" s="359">
        <f t="shared" si="37"/>
        <v>43677</v>
      </c>
      <c r="K91" s="334">
        <f t="shared" si="38"/>
        <v>79</v>
      </c>
      <c r="L91" s="335">
        <f t="shared" si="39"/>
        <v>227.1751863850151</v>
      </c>
      <c r="M91" s="335"/>
      <c r="N91" s="335">
        <f t="shared" si="40"/>
        <v>191.1799271752913</v>
      </c>
      <c r="O91" s="335">
        <f t="shared" si="58"/>
        <v>35.9952592097238</v>
      </c>
      <c r="P91" s="360">
        <f t="shared" si="41"/>
        <v>22905.596001825234</v>
      </c>
      <c r="R91" s="359">
        <f t="shared" si="42"/>
        <v>43677</v>
      </c>
      <c r="S91" s="334">
        <f t="shared" si="43"/>
        <v>79</v>
      </c>
      <c r="T91" s="335">
        <f t="shared" si="44"/>
        <v>227.1751863850151</v>
      </c>
      <c r="U91" s="335"/>
      <c r="V91" s="335">
        <f t="shared" si="45"/>
        <v>191.1799271752913</v>
      </c>
      <c r="W91" s="335">
        <f t="shared" si="59"/>
        <v>35.9952592097238</v>
      </c>
      <c r="X91" s="360">
        <f t="shared" si="46"/>
        <v>22905.596001825234</v>
      </c>
      <c r="Z91" s="359">
        <f t="shared" si="47"/>
        <v>43677</v>
      </c>
      <c r="AA91" s="334">
        <f t="shared" si="48"/>
        <v>79</v>
      </c>
      <c r="AB91" s="335">
        <f t="shared" si="49"/>
        <v>227.1751863850151</v>
      </c>
      <c r="AC91" s="335"/>
      <c r="AD91" s="335">
        <f t="shared" si="50"/>
        <v>191.1799271752913</v>
      </c>
      <c r="AE91" s="335">
        <f t="shared" si="60"/>
        <v>35.9952592097238</v>
      </c>
      <c r="AF91" s="360">
        <f t="shared" si="51"/>
        <v>22905.596001825234</v>
      </c>
      <c r="AH91" s="359">
        <f t="shared" si="52"/>
        <v>43677</v>
      </c>
      <c r="AI91" s="334">
        <f t="shared" si="53"/>
        <v>79</v>
      </c>
      <c r="AJ91" s="335">
        <f t="shared" si="54"/>
        <v>227.1751863850151</v>
      </c>
      <c r="AK91" s="335"/>
      <c r="AL91" s="335">
        <f t="shared" si="55"/>
        <v>191.1799271752913</v>
      </c>
      <c r="AM91" s="335">
        <f t="shared" si="61"/>
        <v>35.9952592097238</v>
      </c>
      <c r="AN91" s="360">
        <f t="shared" si="56"/>
        <v>22905.596001825234</v>
      </c>
    </row>
    <row r="92" spans="1:40" ht="12.75">
      <c r="A92" s="359">
        <f t="shared" si="31"/>
        <v>43708</v>
      </c>
      <c r="B92" s="334">
        <f t="shared" si="32"/>
        <v>80</v>
      </c>
      <c r="C92" s="335">
        <f t="shared" si="33"/>
        <v>227.1751863850151</v>
      </c>
      <c r="D92" s="335"/>
      <c r="E92" s="335">
        <f t="shared" si="34"/>
        <v>190.87996668187694</v>
      </c>
      <c r="F92" s="335">
        <f t="shared" si="57"/>
        <v>36.29521970313817</v>
      </c>
      <c r="G92" s="360">
        <f t="shared" si="35"/>
        <v>22869.300782122096</v>
      </c>
      <c r="H92" s="336" t="e">
        <f t="shared" si="36"/>
        <v>#VALUE!</v>
      </c>
      <c r="I92" s="333"/>
      <c r="J92" s="359">
        <f t="shared" si="37"/>
        <v>43708</v>
      </c>
      <c r="K92" s="334">
        <f t="shared" si="38"/>
        <v>80</v>
      </c>
      <c r="L92" s="335">
        <f t="shared" si="39"/>
        <v>227.1751863850151</v>
      </c>
      <c r="M92" s="335"/>
      <c r="N92" s="335">
        <f t="shared" si="40"/>
        <v>190.87996668187694</v>
      </c>
      <c r="O92" s="335">
        <f t="shared" si="58"/>
        <v>36.29521970313817</v>
      </c>
      <c r="P92" s="360">
        <f t="shared" si="41"/>
        <v>22869.300782122096</v>
      </c>
      <c r="R92" s="359">
        <f t="shared" si="42"/>
        <v>43708</v>
      </c>
      <c r="S92" s="334">
        <f t="shared" si="43"/>
        <v>80</v>
      </c>
      <c r="T92" s="335">
        <f t="shared" si="44"/>
        <v>227.1751863850151</v>
      </c>
      <c r="U92" s="335"/>
      <c r="V92" s="335">
        <f t="shared" si="45"/>
        <v>190.87996668187694</v>
      </c>
      <c r="W92" s="335">
        <f t="shared" si="59"/>
        <v>36.29521970313817</v>
      </c>
      <c r="X92" s="360">
        <f t="shared" si="46"/>
        <v>22869.300782122096</v>
      </c>
      <c r="Z92" s="359">
        <f t="shared" si="47"/>
        <v>43708</v>
      </c>
      <c r="AA92" s="334">
        <f t="shared" si="48"/>
        <v>80</v>
      </c>
      <c r="AB92" s="335">
        <f t="shared" si="49"/>
        <v>227.1751863850151</v>
      </c>
      <c r="AC92" s="335"/>
      <c r="AD92" s="335">
        <f t="shared" si="50"/>
        <v>190.87996668187694</v>
      </c>
      <c r="AE92" s="335">
        <f t="shared" si="60"/>
        <v>36.29521970313817</v>
      </c>
      <c r="AF92" s="360">
        <f t="shared" si="51"/>
        <v>22869.300782122096</v>
      </c>
      <c r="AH92" s="359">
        <f t="shared" si="52"/>
        <v>43708</v>
      </c>
      <c r="AI92" s="334">
        <f t="shared" si="53"/>
        <v>80</v>
      </c>
      <c r="AJ92" s="335">
        <f t="shared" si="54"/>
        <v>227.1751863850151</v>
      </c>
      <c r="AK92" s="335"/>
      <c r="AL92" s="335">
        <f t="shared" si="55"/>
        <v>190.87996668187694</v>
      </c>
      <c r="AM92" s="335">
        <f t="shared" si="61"/>
        <v>36.29521970313817</v>
      </c>
      <c r="AN92" s="360">
        <f t="shared" si="56"/>
        <v>22869.300782122096</v>
      </c>
    </row>
    <row r="93" spans="1:40" ht="12.75">
      <c r="A93" s="359">
        <f t="shared" si="31"/>
        <v>43738</v>
      </c>
      <c r="B93" s="334">
        <f t="shared" si="32"/>
        <v>81</v>
      </c>
      <c r="C93" s="335">
        <f t="shared" si="33"/>
        <v>227.1751863850151</v>
      </c>
      <c r="D93" s="335"/>
      <c r="E93" s="335">
        <f t="shared" si="34"/>
        <v>190.57750651768413</v>
      </c>
      <c r="F93" s="335">
        <f t="shared" si="57"/>
        <v>36.59767986733098</v>
      </c>
      <c r="G93" s="360">
        <f t="shared" si="35"/>
        <v>22832.703102254764</v>
      </c>
      <c r="H93" s="336" t="e">
        <f t="shared" si="36"/>
        <v>#VALUE!</v>
      </c>
      <c r="I93" s="333"/>
      <c r="J93" s="359">
        <f t="shared" si="37"/>
        <v>43738</v>
      </c>
      <c r="K93" s="334">
        <f t="shared" si="38"/>
        <v>81</v>
      </c>
      <c r="L93" s="335">
        <f t="shared" si="39"/>
        <v>227.1751863850151</v>
      </c>
      <c r="M93" s="335"/>
      <c r="N93" s="335">
        <f t="shared" si="40"/>
        <v>190.57750651768413</v>
      </c>
      <c r="O93" s="335">
        <f t="shared" si="58"/>
        <v>36.59767986733098</v>
      </c>
      <c r="P93" s="360">
        <f t="shared" si="41"/>
        <v>22832.703102254764</v>
      </c>
      <c r="R93" s="359">
        <f t="shared" si="42"/>
        <v>43738</v>
      </c>
      <c r="S93" s="334">
        <f t="shared" si="43"/>
        <v>81</v>
      </c>
      <c r="T93" s="335">
        <f t="shared" si="44"/>
        <v>227.1751863850151</v>
      </c>
      <c r="U93" s="335"/>
      <c r="V93" s="335">
        <f t="shared" si="45"/>
        <v>190.57750651768413</v>
      </c>
      <c r="W93" s="335">
        <f t="shared" si="59"/>
        <v>36.59767986733098</v>
      </c>
      <c r="X93" s="360">
        <f t="shared" si="46"/>
        <v>22832.703102254764</v>
      </c>
      <c r="Z93" s="359">
        <f t="shared" si="47"/>
        <v>43738</v>
      </c>
      <c r="AA93" s="334">
        <f t="shared" si="48"/>
        <v>81</v>
      </c>
      <c r="AB93" s="335">
        <f t="shared" si="49"/>
        <v>227.1751863850151</v>
      </c>
      <c r="AC93" s="335"/>
      <c r="AD93" s="335">
        <f t="shared" si="50"/>
        <v>190.57750651768413</v>
      </c>
      <c r="AE93" s="335">
        <f t="shared" si="60"/>
        <v>36.59767986733098</v>
      </c>
      <c r="AF93" s="360">
        <f t="shared" si="51"/>
        <v>22832.703102254764</v>
      </c>
      <c r="AH93" s="359">
        <f t="shared" si="52"/>
        <v>43738</v>
      </c>
      <c r="AI93" s="334">
        <f t="shared" si="53"/>
        <v>81</v>
      </c>
      <c r="AJ93" s="335">
        <f t="shared" si="54"/>
        <v>227.1751863850151</v>
      </c>
      <c r="AK93" s="335"/>
      <c r="AL93" s="335">
        <f t="shared" si="55"/>
        <v>190.57750651768413</v>
      </c>
      <c r="AM93" s="335">
        <f t="shared" si="61"/>
        <v>36.59767986733098</v>
      </c>
      <c r="AN93" s="360">
        <f t="shared" si="56"/>
        <v>22832.703102254764</v>
      </c>
    </row>
    <row r="94" spans="1:40" ht="12.75">
      <c r="A94" s="359">
        <f t="shared" si="31"/>
        <v>43769</v>
      </c>
      <c r="B94" s="334">
        <f t="shared" si="32"/>
        <v>82</v>
      </c>
      <c r="C94" s="335">
        <f t="shared" si="33"/>
        <v>227.1751863850151</v>
      </c>
      <c r="D94" s="335"/>
      <c r="E94" s="335">
        <f t="shared" si="34"/>
        <v>190.27252585212304</v>
      </c>
      <c r="F94" s="335">
        <f t="shared" si="57"/>
        <v>36.90266053289207</v>
      </c>
      <c r="G94" s="360">
        <f t="shared" si="35"/>
        <v>22795.800441721873</v>
      </c>
      <c r="H94" s="336" t="e">
        <f t="shared" si="36"/>
        <v>#VALUE!</v>
      </c>
      <c r="I94" s="333"/>
      <c r="J94" s="359">
        <f t="shared" si="37"/>
        <v>43769</v>
      </c>
      <c r="K94" s="334">
        <f t="shared" si="38"/>
        <v>82</v>
      </c>
      <c r="L94" s="335">
        <f t="shared" si="39"/>
        <v>227.1751863850151</v>
      </c>
      <c r="M94" s="335"/>
      <c r="N94" s="335">
        <f t="shared" si="40"/>
        <v>190.27252585212304</v>
      </c>
      <c r="O94" s="335">
        <f t="shared" si="58"/>
        <v>36.90266053289207</v>
      </c>
      <c r="P94" s="360">
        <f t="shared" si="41"/>
        <v>22795.800441721873</v>
      </c>
      <c r="R94" s="359">
        <f t="shared" si="42"/>
        <v>43769</v>
      </c>
      <c r="S94" s="334">
        <f t="shared" si="43"/>
        <v>82</v>
      </c>
      <c r="T94" s="335">
        <f t="shared" si="44"/>
        <v>227.1751863850151</v>
      </c>
      <c r="U94" s="335"/>
      <c r="V94" s="335">
        <f t="shared" si="45"/>
        <v>190.27252585212304</v>
      </c>
      <c r="W94" s="335">
        <f t="shared" si="59"/>
        <v>36.90266053289207</v>
      </c>
      <c r="X94" s="360">
        <f t="shared" si="46"/>
        <v>22795.800441721873</v>
      </c>
      <c r="Z94" s="359">
        <f t="shared" si="47"/>
        <v>43769</v>
      </c>
      <c r="AA94" s="334">
        <f t="shared" si="48"/>
        <v>82</v>
      </c>
      <c r="AB94" s="335">
        <f t="shared" si="49"/>
        <v>227.1751863850151</v>
      </c>
      <c r="AC94" s="335"/>
      <c r="AD94" s="335">
        <f t="shared" si="50"/>
        <v>190.27252585212304</v>
      </c>
      <c r="AE94" s="335">
        <f t="shared" si="60"/>
        <v>36.90266053289207</v>
      </c>
      <c r="AF94" s="360">
        <f t="shared" si="51"/>
        <v>22795.800441721873</v>
      </c>
      <c r="AH94" s="359">
        <f t="shared" si="52"/>
        <v>43769</v>
      </c>
      <c r="AI94" s="334">
        <f t="shared" si="53"/>
        <v>82</v>
      </c>
      <c r="AJ94" s="335">
        <f t="shared" si="54"/>
        <v>227.1751863850151</v>
      </c>
      <c r="AK94" s="335"/>
      <c r="AL94" s="335">
        <f t="shared" si="55"/>
        <v>190.27252585212304</v>
      </c>
      <c r="AM94" s="335">
        <f t="shared" si="61"/>
        <v>36.90266053289207</v>
      </c>
      <c r="AN94" s="360">
        <f t="shared" si="56"/>
        <v>22795.800441721873</v>
      </c>
    </row>
    <row r="95" spans="1:40" ht="12.75">
      <c r="A95" s="359">
        <f t="shared" si="31"/>
        <v>43799</v>
      </c>
      <c r="B95" s="334">
        <f t="shared" si="32"/>
        <v>83</v>
      </c>
      <c r="C95" s="335">
        <f t="shared" si="33"/>
        <v>227.1751863850151</v>
      </c>
      <c r="D95" s="335"/>
      <c r="E95" s="335">
        <f t="shared" si="34"/>
        <v>189.96500368101562</v>
      </c>
      <c r="F95" s="335">
        <f t="shared" si="57"/>
        <v>37.21018270399949</v>
      </c>
      <c r="G95" s="360">
        <f t="shared" si="35"/>
        <v>22758.590259017874</v>
      </c>
      <c r="H95" s="336" t="e">
        <f t="shared" si="36"/>
        <v>#VALUE!</v>
      </c>
      <c r="I95" s="333"/>
      <c r="J95" s="359">
        <f t="shared" si="37"/>
        <v>43799</v>
      </c>
      <c r="K95" s="334">
        <f t="shared" si="38"/>
        <v>83</v>
      </c>
      <c r="L95" s="335">
        <f t="shared" si="39"/>
        <v>227.1751863850151</v>
      </c>
      <c r="M95" s="335"/>
      <c r="N95" s="335">
        <f t="shared" si="40"/>
        <v>189.96500368101562</v>
      </c>
      <c r="O95" s="335">
        <f t="shared" si="58"/>
        <v>37.21018270399949</v>
      </c>
      <c r="P95" s="360">
        <f t="shared" si="41"/>
        <v>22758.590259017874</v>
      </c>
      <c r="R95" s="359">
        <f t="shared" si="42"/>
        <v>43799</v>
      </c>
      <c r="S95" s="334">
        <f t="shared" si="43"/>
        <v>83</v>
      </c>
      <c r="T95" s="335">
        <f t="shared" si="44"/>
        <v>227.1751863850151</v>
      </c>
      <c r="U95" s="335"/>
      <c r="V95" s="335">
        <f t="shared" si="45"/>
        <v>189.96500368101562</v>
      </c>
      <c r="W95" s="335">
        <f t="shared" si="59"/>
        <v>37.21018270399949</v>
      </c>
      <c r="X95" s="360">
        <f t="shared" si="46"/>
        <v>22758.590259017874</v>
      </c>
      <c r="Z95" s="359">
        <f t="shared" si="47"/>
        <v>43799</v>
      </c>
      <c r="AA95" s="334">
        <f t="shared" si="48"/>
        <v>83</v>
      </c>
      <c r="AB95" s="335">
        <f t="shared" si="49"/>
        <v>227.1751863850151</v>
      </c>
      <c r="AC95" s="335"/>
      <c r="AD95" s="335">
        <f t="shared" si="50"/>
        <v>189.96500368101562</v>
      </c>
      <c r="AE95" s="335">
        <f t="shared" si="60"/>
        <v>37.21018270399949</v>
      </c>
      <c r="AF95" s="360">
        <f t="shared" si="51"/>
        <v>22758.590259017874</v>
      </c>
      <c r="AH95" s="359">
        <f t="shared" si="52"/>
        <v>43799</v>
      </c>
      <c r="AI95" s="334">
        <f t="shared" si="53"/>
        <v>83</v>
      </c>
      <c r="AJ95" s="335">
        <f t="shared" si="54"/>
        <v>227.1751863850151</v>
      </c>
      <c r="AK95" s="335"/>
      <c r="AL95" s="335">
        <f t="shared" si="55"/>
        <v>189.96500368101562</v>
      </c>
      <c r="AM95" s="335">
        <f t="shared" si="61"/>
        <v>37.21018270399949</v>
      </c>
      <c r="AN95" s="360">
        <f t="shared" si="56"/>
        <v>22758.590259017874</v>
      </c>
    </row>
    <row r="96" spans="1:40" ht="12.75">
      <c r="A96" s="359">
        <f t="shared" si="31"/>
        <v>43830</v>
      </c>
      <c r="B96" s="334">
        <f t="shared" si="32"/>
        <v>84</v>
      </c>
      <c r="C96" s="335">
        <f t="shared" si="33"/>
        <v>227.1751863850151</v>
      </c>
      <c r="D96" s="335"/>
      <c r="E96" s="335">
        <f t="shared" si="34"/>
        <v>189.65491882514894</v>
      </c>
      <c r="F96" s="335">
        <f t="shared" si="57"/>
        <v>37.52026755986617</v>
      </c>
      <c r="G96" s="360">
        <f t="shared" si="35"/>
        <v>22721.069991458007</v>
      </c>
      <c r="H96" s="336" t="e">
        <f t="shared" si="36"/>
        <v>#VALUE!</v>
      </c>
      <c r="I96" s="333"/>
      <c r="J96" s="359">
        <f t="shared" si="37"/>
        <v>43830</v>
      </c>
      <c r="K96" s="334">
        <f t="shared" si="38"/>
        <v>84</v>
      </c>
      <c r="L96" s="335">
        <f t="shared" si="39"/>
        <v>227.1751863850151</v>
      </c>
      <c r="M96" s="335"/>
      <c r="N96" s="335">
        <f t="shared" si="40"/>
        <v>189.65491882514894</v>
      </c>
      <c r="O96" s="335">
        <f t="shared" si="58"/>
        <v>37.52026755986617</v>
      </c>
      <c r="P96" s="360">
        <f t="shared" si="41"/>
        <v>22721.069991458007</v>
      </c>
      <c r="R96" s="359">
        <f t="shared" si="42"/>
        <v>43830</v>
      </c>
      <c r="S96" s="334">
        <f t="shared" si="43"/>
        <v>84</v>
      </c>
      <c r="T96" s="335">
        <f t="shared" si="44"/>
        <v>227.1751863850151</v>
      </c>
      <c r="U96" s="335"/>
      <c r="V96" s="335">
        <f t="shared" si="45"/>
        <v>189.65491882514894</v>
      </c>
      <c r="W96" s="335">
        <f t="shared" si="59"/>
        <v>37.52026755986617</v>
      </c>
      <c r="X96" s="360">
        <f t="shared" si="46"/>
        <v>22721.069991458007</v>
      </c>
      <c r="Z96" s="359">
        <f t="shared" si="47"/>
        <v>43830</v>
      </c>
      <c r="AA96" s="334">
        <f t="shared" si="48"/>
        <v>84</v>
      </c>
      <c r="AB96" s="335">
        <f t="shared" si="49"/>
        <v>227.1751863850151</v>
      </c>
      <c r="AC96" s="335"/>
      <c r="AD96" s="335">
        <f t="shared" si="50"/>
        <v>189.65491882514894</v>
      </c>
      <c r="AE96" s="335">
        <f t="shared" si="60"/>
        <v>37.52026755986617</v>
      </c>
      <c r="AF96" s="360">
        <f t="shared" si="51"/>
        <v>22721.069991458007</v>
      </c>
      <c r="AH96" s="359">
        <f t="shared" si="52"/>
        <v>43830</v>
      </c>
      <c r="AI96" s="334">
        <f t="shared" si="53"/>
        <v>84</v>
      </c>
      <c r="AJ96" s="335">
        <f t="shared" si="54"/>
        <v>227.1751863850151</v>
      </c>
      <c r="AK96" s="335"/>
      <c r="AL96" s="335">
        <f t="shared" si="55"/>
        <v>189.65491882514894</v>
      </c>
      <c r="AM96" s="335">
        <f t="shared" si="61"/>
        <v>37.52026755986617</v>
      </c>
      <c r="AN96" s="360">
        <f t="shared" si="56"/>
        <v>22721.069991458007</v>
      </c>
    </row>
    <row r="97" spans="1:40" ht="12.75">
      <c r="A97" s="359">
        <f t="shared" si="31"/>
        <v>43861</v>
      </c>
      <c r="B97" s="334">
        <f t="shared" si="32"/>
        <v>85</v>
      </c>
      <c r="C97" s="335">
        <f t="shared" si="33"/>
        <v>227.1751863850151</v>
      </c>
      <c r="D97" s="335"/>
      <c r="E97" s="335">
        <f t="shared" si="34"/>
        <v>189.34224992881673</v>
      </c>
      <c r="F97" s="335">
        <f t="shared" si="57"/>
        <v>37.83293645619838</v>
      </c>
      <c r="G97" s="360">
        <f t="shared" si="35"/>
        <v>22683.23705500181</v>
      </c>
      <c r="H97" s="336" t="e">
        <f t="shared" si="36"/>
        <v>#VALUE!</v>
      </c>
      <c r="I97" s="333"/>
      <c r="J97" s="359">
        <f t="shared" si="37"/>
        <v>43861</v>
      </c>
      <c r="K97" s="334">
        <f t="shared" si="38"/>
        <v>85</v>
      </c>
      <c r="L97" s="335">
        <f t="shared" si="39"/>
        <v>227.1751863850151</v>
      </c>
      <c r="M97" s="335"/>
      <c r="N97" s="335">
        <f t="shared" si="40"/>
        <v>189.34224992881673</v>
      </c>
      <c r="O97" s="335">
        <f t="shared" si="58"/>
        <v>37.83293645619838</v>
      </c>
      <c r="P97" s="360">
        <f t="shared" si="41"/>
        <v>22683.23705500181</v>
      </c>
      <c r="R97" s="359">
        <f t="shared" si="42"/>
        <v>43861</v>
      </c>
      <c r="S97" s="334">
        <f t="shared" si="43"/>
        <v>85</v>
      </c>
      <c r="T97" s="335">
        <f t="shared" si="44"/>
        <v>227.1751863850151</v>
      </c>
      <c r="U97" s="335"/>
      <c r="V97" s="335">
        <f t="shared" si="45"/>
        <v>189.34224992881673</v>
      </c>
      <c r="W97" s="335">
        <f t="shared" si="59"/>
        <v>37.83293645619838</v>
      </c>
      <c r="X97" s="360">
        <f t="shared" si="46"/>
        <v>22683.23705500181</v>
      </c>
      <c r="Z97" s="359">
        <f t="shared" si="47"/>
        <v>43861</v>
      </c>
      <c r="AA97" s="334">
        <f t="shared" si="48"/>
        <v>85</v>
      </c>
      <c r="AB97" s="335">
        <f t="shared" si="49"/>
        <v>227.1751863850151</v>
      </c>
      <c r="AC97" s="335"/>
      <c r="AD97" s="335">
        <f t="shared" si="50"/>
        <v>189.34224992881673</v>
      </c>
      <c r="AE97" s="335">
        <f t="shared" si="60"/>
        <v>37.83293645619838</v>
      </c>
      <c r="AF97" s="360">
        <f t="shared" si="51"/>
        <v>22683.23705500181</v>
      </c>
      <c r="AH97" s="359">
        <f t="shared" si="52"/>
        <v>43861</v>
      </c>
      <c r="AI97" s="334">
        <f t="shared" si="53"/>
        <v>85</v>
      </c>
      <c r="AJ97" s="335">
        <f t="shared" si="54"/>
        <v>227.1751863850151</v>
      </c>
      <c r="AK97" s="335"/>
      <c r="AL97" s="335">
        <f t="shared" si="55"/>
        <v>189.34224992881673</v>
      </c>
      <c r="AM97" s="335">
        <f t="shared" si="61"/>
        <v>37.83293645619838</v>
      </c>
      <c r="AN97" s="360">
        <f t="shared" si="56"/>
        <v>22683.23705500181</v>
      </c>
    </row>
    <row r="98" spans="1:40" ht="12.75">
      <c r="A98" s="359">
        <f t="shared" si="31"/>
        <v>43890</v>
      </c>
      <c r="B98" s="334">
        <f t="shared" si="32"/>
        <v>86</v>
      </c>
      <c r="C98" s="335">
        <f t="shared" si="33"/>
        <v>227.1751863850151</v>
      </c>
      <c r="D98" s="335"/>
      <c r="E98" s="335">
        <f t="shared" si="34"/>
        <v>189.0269754583484</v>
      </c>
      <c r="F98" s="335">
        <f t="shared" si="57"/>
        <v>38.14821092666671</v>
      </c>
      <c r="G98" s="360">
        <f t="shared" si="35"/>
        <v>22645.088844075144</v>
      </c>
      <c r="H98" s="336" t="e">
        <f t="shared" si="36"/>
        <v>#VALUE!</v>
      </c>
      <c r="I98" s="333"/>
      <c r="J98" s="359">
        <f t="shared" si="37"/>
        <v>43890</v>
      </c>
      <c r="K98" s="334">
        <f t="shared" si="38"/>
        <v>86</v>
      </c>
      <c r="L98" s="335">
        <f t="shared" si="39"/>
        <v>227.1751863850151</v>
      </c>
      <c r="M98" s="335"/>
      <c r="N98" s="335">
        <f t="shared" si="40"/>
        <v>189.0269754583484</v>
      </c>
      <c r="O98" s="335">
        <f t="shared" si="58"/>
        <v>38.14821092666671</v>
      </c>
      <c r="P98" s="360">
        <f t="shared" si="41"/>
        <v>22645.088844075144</v>
      </c>
      <c r="R98" s="359">
        <f t="shared" si="42"/>
        <v>43890</v>
      </c>
      <c r="S98" s="334">
        <f t="shared" si="43"/>
        <v>86</v>
      </c>
      <c r="T98" s="335">
        <f t="shared" si="44"/>
        <v>227.1751863850151</v>
      </c>
      <c r="U98" s="335"/>
      <c r="V98" s="335">
        <f t="shared" si="45"/>
        <v>189.0269754583484</v>
      </c>
      <c r="W98" s="335">
        <f t="shared" si="59"/>
        <v>38.14821092666671</v>
      </c>
      <c r="X98" s="360">
        <f t="shared" si="46"/>
        <v>22645.088844075144</v>
      </c>
      <c r="Z98" s="359">
        <f t="shared" si="47"/>
        <v>43890</v>
      </c>
      <c r="AA98" s="334">
        <f t="shared" si="48"/>
        <v>86</v>
      </c>
      <c r="AB98" s="335">
        <f t="shared" si="49"/>
        <v>227.1751863850151</v>
      </c>
      <c r="AC98" s="335"/>
      <c r="AD98" s="335">
        <f t="shared" si="50"/>
        <v>189.0269754583484</v>
      </c>
      <c r="AE98" s="335">
        <f t="shared" si="60"/>
        <v>38.14821092666671</v>
      </c>
      <c r="AF98" s="360">
        <f t="shared" si="51"/>
        <v>22645.088844075144</v>
      </c>
      <c r="AH98" s="359">
        <f t="shared" si="52"/>
        <v>43890</v>
      </c>
      <c r="AI98" s="334">
        <f t="shared" si="53"/>
        <v>86</v>
      </c>
      <c r="AJ98" s="335">
        <f t="shared" si="54"/>
        <v>227.1751863850151</v>
      </c>
      <c r="AK98" s="335"/>
      <c r="AL98" s="335">
        <f t="shared" si="55"/>
        <v>189.0269754583484</v>
      </c>
      <c r="AM98" s="335">
        <f t="shared" si="61"/>
        <v>38.14821092666671</v>
      </c>
      <c r="AN98" s="360">
        <f t="shared" si="56"/>
        <v>22645.088844075144</v>
      </c>
    </row>
    <row r="99" spans="1:40" ht="12.75">
      <c r="A99" s="359">
        <f t="shared" si="31"/>
        <v>43921</v>
      </c>
      <c r="B99" s="334">
        <f t="shared" si="32"/>
        <v>87</v>
      </c>
      <c r="C99" s="335">
        <f t="shared" si="33"/>
        <v>227.1751863850151</v>
      </c>
      <c r="D99" s="335"/>
      <c r="E99" s="335">
        <f t="shared" si="34"/>
        <v>188.7090737006262</v>
      </c>
      <c r="F99" s="335">
        <f t="shared" si="57"/>
        <v>38.46611268438892</v>
      </c>
      <c r="G99" s="360">
        <f t="shared" si="35"/>
        <v>22606.622731390755</v>
      </c>
      <c r="H99" s="336" t="e">
        <f t="shared" si="36"/>
        <v>#VALUE!</v>
      </c>
      <c r="I99" s="333"/>
      <c r="J99" s="359">
        <f t="shared" si="37"/>
        <v>43921</v>
      </c>
      <c r="K99" s="334">
        <f t="shared" si="38"/>
        <v>87</v>
      </c>
      <c r="L99" s="335">
        <f t="shared" si="39"/>
        <v>227.1751863850151</v>
      </c>
      <c r="M99" s="335"/>
      <c r="N99" s="335">
        <f t="shared" si="40"/>
        <v>188.7090737006262</v>
      </c>
      <c r="O99" s="335">
        <f t="shared" si="58"/>
        <v>38.46611268438892</v>
      </c>
      <c r="P99" s="360">
        <f t="shared" si="41"/>
        <v>22606.622731390755</v>
      </c>
      <c r="R99" s="359">
        <f t="shared" si="42"/>
        <v>43921</v>
      </c>
      <c r="S99" s="334">
        <f t="shared" si="43"/>
        <v>87</v>
      </c>
      <c r="T99" s="335">
        <f t="shared" si="44"/>
        <v>227.1751863850151</v>
      </c>
      <c r="U99" s="335"/>
      <c r="V99" s="335">
        <f t="shared" si="45"/>
        <v>188.7090737006262</v>
      </c>
      <c r="W99" s="335">
        <f t="shared" si="59"/>
        <v>38.46611268438892</v>
      </c>
      <c r="X99" s="360">
        <f t="shared" si="46"/>
        <v>22606.622731390755</v>
      </c>
      <c r="Z99" s="359">
        <f t="shared" si="47"/>
        <v>43921</v>
      </c>
      <c r="AA99" s="334">
        <f t="shared" si="48"/>
        <v>87</v>
      </c>
      <c r="AB99" s="335">
        <f t="shared" si="49"/>
        <v>227.1751863850151</v>
      </c>
      <c r="AC99" s="335"/>
      <c r="AD99" s="335">
        <f t="shared" si="50"/>
        <v>188.7090737006262</v>
      </c>
      <c r="AE99" s="335">
        <f t="shared" si="60"/>
        <v>38.46611268438892</v>
      </c>
      <c r="AF99" s="360">
        <f t="shared" si="51"/>
        <v>22606.622731390755</v>
      </c>
      <c r="AH99" s="359">
        <f t="shared" si="52"/>
        <v>43921</v>
      </c>
      <c r="AI99" s="334">
        <f t="shared" si="53"/>
        <v>87</v>
      </c>
      <c r="AJ99" s="335">
        <f t="shared" si="54"/>
        <v>227.1751863850151</v>
      </c>
      <c r="AK99" s="335"/>
      <c r="AL99" s="335">
        <f t="shared" si="55"/>
        <v>188.7090737006262</v>
      </c>
      <c r="AM99" s="335">
        <f t="shared" si="61"/>
        <v>38.46611268438892</v>
      </c>
      <c r="AN99" s="360">
        <f t="shared" si="56"/>
        <v>22606.622731390755</v>
      </c>
    </row>
    <row r="100" spans="1:40" ht="12.75">
      <c r="A100" s="359">
        <f t="shared" si="31"/>
        <v>43951</v>
      </c>
      <c r="B100" s="334">
        <f t="shared" si="32"/>
        <v>88</v>
      </c>
      <c r="C100" s="335">
        <f t="shared" si="33"/>
        <v>227.1751863850151</v>
      </c>
      <c r="D100" s="335"/>
      <c r="E100" s="335">
        <f t="shared" si="34"/>
        <v>188.38852276158963</v>
      </c>
      <c r="F100" s="335">
        <f t="shared" si="57"/>
        <v>38.78666362342548</v>
      </c>
      <c r="G100" s="360">
        <f t="shared" si="35"/>
        <v>22567.83606776733</v>
      </c>
      <c r="H100" s="336" t="e">
        <f t="shared" si="36"/>
        <v>#VALUE!</v>
      </c>
      <c r="I100" s="333"/>
      <c r="J100" s="359">
        <f t="shared" si="37"/>
        <v>43951</v>
      </c>
      <c r="K100" s="334">
        <f t="shared" si="38"/>
        <v>88</v>
      </c>
      <c r="L100" s="335">
        <f t="shared" si="39"/>
        <v>227.1751863850151</v>
      </c>
      <c r="M100" s="335"/>
      <c r="N100" s="335">
        <f t="shared" si="40"/>
        <v>188.38852276158963</v>
      </c>
      <c r="O100" s="335">
        <f t="shared" si="58"/>
        <v>38.78666362342548</v>
      </c>
      <c r="P100" s="360">
        <f t="shared" si="41"/>
        <v>22567.83606776733</v>
      </c>
      <c r="R100" s="359">
        <f t="shared" si="42"/>
        <v>43951</v>
      </c>
      <c r="S100" s="334">
        <f t="shared" si="43"/>
        <v>88</v>
      </c>
      <c r="T100" s="335">
        <f t="shared" si="44"/>
        <v>227.1751863850151</v>
      </c>
      <c r="U100" s="335"/>
      <c r="V100" s="335">
        <f t="shared" si="45"/>
        <v>188.38852276158963</v>
      </c>
      <c r="W100" s="335">
        <f t="shared" si="59"/>
        <v>38.78666362342548</v>
      </c>
      <c r="X100" s="360">
        <f t="shared" si="46"/>
        <v>22567.83606776733</v>
      </c>
      <c r="Z100" s="359">
        <f t="shared" si="47"/>
        <v>43951</v>
      </c>
      <c r="AA100" s="334">
        <f t="shared" si="48"/>
        <v>88</v>
      </c>
      <c r="AB100" s="335">
        <f t="shared" si="49"/>
        <v>227.1751863850151</v>
      </c>
      <c r="AC100" s="335"/>
      <c r="AD100" s="335">
        <f t="shared" si="50"/>
        <v>188.38852276158963</v>
      </c>
      <c r="AE100" s="335">
        <f t="shared" si="60"/>
        <v>38.78666362342548</v>
      </c>
      <c r="AF100" s="360">
        <f t="shared" si="51"/>
        <v>22567.83606776733</v>
      </c>
      <c r="AH100" s="359">
        <f t="shared" si="52"/>
        <v>43951</v>
      </c>
      <c r="AI100" s="334">
        <f t="shared" si="53"/>
        <v>88</v>
      </c>
      <c r="AJ100" s="335">
        <f t="shared" si="54"/>
        <v>227.1751863850151</v>
      </c>
      <c r="AK100" s="335"/>
      <c r="AL100" s="335">
        <f t="shared" si="55"/>
        <v>188.38852276158963</v>
      </c>
      <c r="AM100" s="335">
        <f t="shared" si="61"/>
        <v>38.78666362342548</v>
      </c>
      <c r="AN100" s="360">
        <f t="shared" si="56"/>
        <v>22567.83606776733</v>
      </c>
    </row>
    <row r="101" spans="1:40" ht="12.75">
      <c r="A101" s="359">
        <f t="shared" si="31"/>
        <v>43982</v>
      </c>
      <c r="B101" s="334">
        <f t="shared" si="32"/>
        <v>89</v>
      </c>
      <c r="C101" s="335">
        <f t="shared" si="33"/>
        <v>227.1751863850151</v>
      </c>
      <c r="D101" s="335"/>
      <c r="E101" s="335">
        <f t="shared" si="34"/>
        <v>188.06530056472775</v>
      </c>
      <c r="F101" s="335">
        <f t="shared" si="57"/>
        <v>39.10988582028736</v>
      </c>
      <c r="G101" s="360">
        <f t="shared" si="35"/>
        <v>22528.726181947044</v>
      </c>
      <c r="H101" s="336" t="e">
        <f t="shared" si="36"/>
        <v>#VALUE!</v>
      </c>
      <c r="I101" s="333"/>
      <c r="J101" s="359">
        <f t="shared" si="37"/>
        <v>43982</v>
      </c>
      <c r="K101" s="334">
        <f t="shared" si="38"/>
        <v>89</v>
      </c>
      <c r="L101" s="335">
        <f t="shared" si="39"/>
        <v>227.1751863850151</v>
      </c>
      <c r="M101" s="335"/>
      <c r="N101" s="335">
        <f t="shared" si="40"/>
        <v>188.06530056472775</v>
      </c>
      <c r="O101" s="335">
        <f t="shared" si="58"/>
        <v>39.10988582028736</v>
      </c>
      <c r="P101" s="360">
        <f t="shared" si="41"/>
        <v>22528.726181947044</v>
      </c>
      <c r="R101" s="359">
        <f t="shared" si="42"/>
        <v>43982</v>
      </c>
      <c r="S101" s="334">
        <f t="shared" si="43"/>
        <v>89</v>
      </c>
      <c r="T101" s="335">
        <f t="shared" si="44"/>
        <v>227.1751863850151</v>
      </c>
      <c r="U101" s="335"/>
      <c r="V101" s="335">
        <f t="shared" si="45"/>
        <v>188.06530056472775</v>
      </c>
      <c r="W101" s="335">
        <f t="shared" si="59"/>
        <v>39.10988582028736</v>
      </c>
      <c r="X101" s="360">
        <f t="shared" si="46"/>
        <v>22528.726181947044</v>
      </c>
      <c r="Z101" s="359">
        <f t="shared" si="47"/>
        <v>43982</v>
      </c>
      <c r="AA101" s="334">
        <f t="shared" si="48"/>
        <v>89</v>
      </c>
      <c r="AB101" s="335">
        <f t="shared" si="49"/>
        <v>227.1751863850151</v>
      </c>
      <c r="AC101" s="335"/>
      <c r="AD101" s="335">
        <f t="shared" si="50"/>
        <v>188.06530056472775</v>
      </c>
      <c r="AE101" s="335">
        <f t="shared" si="60"/>
        <v>39.10988582028736</v>
      </c>
      <c r="AF101" s="360">
        <f t="shared" si="51"/>
        <v>22528.726181947044</v>
      </c>
      <c r="AH101" s="359">
        <f t="shared" si="52"/>
        <v>43982</v>
      </c>
      <c r="AI101" s="334">
        <f t="shared" si="53"/>
        <v>89</v>
      </c>
      <c r="AJ101" s="335">
        <f t="shared" si="54"/>
        <v>227.1751863850151</v>
      </c>
      <c r="AK101" s="335"/>
      <c r="AL101" s="335">
        <f t="shared" si="55"/>
        <v>188.06530056472775</v>
      </c>
      <c r="AM101" s="335">
        <f t="shared" si="61"/>
        <v>39.10988582028736</v>
      </c>
      <c r="AN101" s="360">
        <f t="shared" si="56"/>
        <v>22528.726181947044</v>
      </c>
    </row>
    <row r="102" spans="1:40" ht="12.75">
      <c r="A102" s="359">
        <f t="shared" si="31"/>
        <v>44012</v>
      </c>
      <c r="B102" s="334">
        <f t="shared" si="32"/>
        <v>90</v>
      </c>
      <c r="C102" s="335">
        <f t="shared" si="33"/>
        <v>227.1751863850151</v>
      </c>
      <c r="D102" s="335"/>
      <c r="E102" s="335">
        <f t="shared" si="34"/>
        <v>187.7393848495587</v>
      </c>
      <c r="F102" s="335">
        <f t="shared" si="57"/>
        <v>39.43580153545642</v>
      </c>
      <c r="G102" s="360">
        <f t="shared" si="35"/>
        <v>22489.29038041159</v>
      </c>
      <c r="H102" s="336" t="e">
        <f t="shared" si="36"/>
        <v>#VALUE!</v>
      </c>
      <c r="I102" s="333"/>
      <c r="J102" s="359">
        <f t="shared" si="37"/>
        <v>44012</v>
      </c>
      <c r="K102" s="334">
        <f t="shared" si="38"/>
        <v>90</v>
      </c>
      <c r="L102" s="335">
        <f t="shared" si="39"/>
        <v>227.1751863850151</v>
      </c>
      <c r="M102" s="335"/>
      <c r="N102" s="335">
        <f t="shared" si="40"/>
        <v>187.7393848495587</v>
      </c>
      <c r="O102" s="335">
        <f t="shared" si="58"/>
        <v>39.43580153545642</v>
      </c>
      <c r="P102" s="360">
        <f t="shared" si="41"/>
        <v>22489.29038041159</v>
      </c>
      <c r="R102" s="359">
        <f t="shared" si="42"/>
        <v>44012</v>
      </c>
      <c r="S102" s="334">
        <f t="shared" si="43"/>
        <v>90</v>
      </c>
      <c r="T102" s="335">
        <f t="shared" si="44"/>
        <v>227.1751863850151</v>
      </c>
      <c r="U102" s="335"/>
      <c r="V102" s="335">
        <f t="shared" si="45"/>
        <v>187.7393848495587</v>
      </c>
      <c r="W102" s="335">
        <f t="shared" si="59"/>
        <v>39.43580153545642</v>
      </c>
      <c r="X102" s="360">
        <f t="shared" si="46"/>
        <v>22489.29038041159</v>
      </c>
      <c r="Z102" s="359">
        <f t="shared" si="47"/>
        <v>44012</v>
      </c>
      <c r="AA102" s="334">
        <f t="shared" si="48"/>
        <v>90</v>
      </c>
      <c r="AB102" s="335">
        <f t="shared" si="49"/>
        <v>227.1751863850151</v>
      </c>
      <c r="AC102" s="335"/>
      <c r="AD102" s="335">
        <f t="shared" si="50"/>
        <v>187.7393848495587</v>
      </c>
      <c r="AE102" s="335">
        <f t="shared" si="60"/>
        <v>39.43580153545642</v>
      </c>
      <c r="AF102" s="360">
        <f t="shared" si="51"/>
        <v>22489.29038041159</v>
      </c>
      <c r="AH102" s="359">
        <f t="shared" si="52"/>
        <v>44012</v>
      </c>
      <c r="AI102" s="334">
        <f t="shared" si="53"/>
        <v>90</v>
      </c>
      <c r="AJ102" s="335">
        <f t="shared" si="54"/>
        <v>227.1751863850151</v>
      </c>
      <c r="AK102" s="335"/>
      <c r="AL102" s="335">
        <f t="shared" si="55"/>
        <v>187.7393848495587</v>
      </c>
      <c r="AM102" s="335">
        <f t="shared" si="61"/>
        <v>39.43580153545642</v>
      </c>
      <c r="AN102" s="360">
        <f t="shared" si="56"/>
        <v>22489.29038041159</v>
      </c>
    </row>
    <row r="103" spans="1:40" ht="12.75">
      <c r="A103" s="359">
        <f t="shared" si="31"/>
        <v>44043</v>
      </c>
      <c r="B103" s="334">
        <f t="shared" si="32"/>
        <v>91</v>
      </c>
      <c r="C103" s="335">
        <f t="shared" si="33"/>
        <v>227.1751863850151</v>
      </c>
      <c r="D103" s="335"/>
      <c r="E103" s="335">
        <f t="shared" si="34"/>
        <v>187.41075317009657</v>
      </c>
      <c r="F103" s="335">
        <f t="shared" si="57"/>
        <v>39.76443321491854</v>
      </c>
      <c r="G103" s="360">
        <f t="shared" si="35"/>
        <v>22449.52594719667</v>
      </c>
      <c r="H103" s="336" t="e">
        <f t="shared" si="36"/>
        <v>#VALUE!</v>
      </c>
      <c r="I103" s="333"/>
      <c r="J103" s="359">
        <f t="shared" si="37"/>
        <v>44043</v>
      </c>
      <c r="K103" s="334">
        <f t="shared" si="38"/>
        <v>91</v>
      </c>
      <c r="L103" s="335">
        <f t="shared" si="39"/>
        <v>227.1751863850151</v>
      </c>
      <c r="M103" s="335"/>
      <c r="N103" s="335">
        <f t="shared" si="40"/>
        <v>187.41075317009657</v>
      </c>
      <c r="O103" s="335">
        <f t="shared" si="58"/>
        <v>39.76443321491854</v>
      </c>
      <c r="P103" s="360">
        <f t="shared" si="41"/>
        <v>22449.52594719667</v>
      </c>
      <c r="R103" s="359">
        <f t="shared" si="42"/>
        <v>44043</v>
      </c>
      <c r="S103" s="334">
        <f t="shared" si="43"/>
        <v>91</v>
      </c>
      <c r="T103" s="335">
        <f t="shared" si="44"/>
        <v>227.1751863850151</v>
      </c>
      <c r="U103" s="335"/>
      <c r="V103" s="335">
        <f t="shared" si="45"/>
        <v>187.41075317009657</v>
      </c>
      <c r="W103" s="335">
        <f t="shared" si="59"/>
        <v>39.76443321491854</v>
      </c>
      <c r="X103" s="360">
        <f t="shared" si="46"/>
        <v>22449.52594719667</v>
      </c>
      <c r="Z103" s="359">
        <f t="shared" si="47"/>
        <v>44043</v>
      </c>
      <c r="AA103" s="334">
        <f t="shared" si="48"/>
        <v>91</v>
      </c>
      <c r="AB103" s="335">
        <f t="shared" si="49"/>
        <v>227.1751863850151</v>
      </c>
      <c r="AC103" s="335"/>
      <c r="AD103" s="335">
        <f t="shared" si="50"/>
        <v>187.41075317009657</v>
      </c>
      <c r="AE103" s="335">
        <f t="shared" si="60"/>
        <v>39.76443321491854</v>
      </c>
      <c r="AF103" s="360">
        <f t="shared" si="51"/>
        <v>22449.52594719667</v>
      </c>
      <c r="AH103" s="359">
        <f t="shared" si="52"/>
        <v>44043</v>
      </c>
      <c r="AI103" s="334">
        <f t="shared" si="53"/>
        <v>91</v>
      </c>
      <c r="AJ103" s="335">
        <f t="shared" si="54"/>
        <v>227.1751863850151</v>
      </c>
      <c r="AK103" s="335"/>
      <c r="AL103" s="335">
        <f t="shared" si="55"/>
        <v>187.41075317009657</v>
      </c>
      <c r="AM103" s="335">
        <f t="shared" si="61"/>
        <v>39.76443321491854</v>
      </c>
      <c r="AN103" s="360">
        <f t="shared" si="56"/>
        <v>22449.52594719667</v>
      </c>
    </row>
    <row r="104" spans="1:40" ht="12.75">
      <c r="A104" s="359">
        <f t="shared" si="31"/>
        <v>44074</v>
      </c>
      <c r="B104" s="334">
        <f t="shared" si="32"/>
        <v>92</v>
      </c>
      <c r="C104" s="335">
        <f t="shared" si="33"/>
        <v>227.1751863850151</v>
      </c>
      <c r="D104" s="335"/>
      <c r="E104" s="335">
        <f t="shared" si="34"/>
        <v>187.0793828933056</v>
      </c>
      <c r="F104" s="335">
        <f t="shared" si="57"/>
        <v>40.09580349170952</v>
      </c>
      <c r="G104" s="360">
        <f t="shared" si="35"/>
        <v>22409.43014370496</v>
      </c>
      <c r="H104" s="336" t="e">
        <f t="shared" si="36"/>
        <v>#VALUE!</v>
      </c>
      <c r="I104" s="333"/>
      <c r="J104" s="359">
        <f t="shared" si="37"/>
        <v>44074</v>
      </c>
      <c r="K104" s="334">
        <f t="shared" si="38"/>
        <v>92</v>
      </c>
      <c r="L104" s="335">
        <f t="shared" si="39"/>
        <v>227.1751863850151</v>
      </c>
      <c r="M104" s="335"/>
      <c r="N104" s="335">
        <f t="shared" si="40"/>
        <v>187.0793828933056</v>
      </c>
      <c r="O104" s="335">
        <f t="shared" si="58"/>
        <v>40.09580349170952</v>
      </c>
      <c r="P104" s="360">
        <f t="shared" si="41"/>
        <v>22409.43014370496</v>
      </c>
      <c r="R104" s="359">
        <f t="shared" si="42"/>
        <v>44074</v>
      </c>
      <c r="S104" s="334">
        <f t="shared" si="43"/>
        <v>92</v>
      </c>
      <c r="T104" s="335">
        <f t="shared" si="44"/>
        <v>227.1751863850151</v>
      </c>
      <c r="U104" s="335"/>
      <c r="V104" s="335">
        <f t="shared" si="45"/>
        <v>187.0793828933056</v>
      </c>
      <c r="W104" s="335">
        <f t="shared" si="59"/>
        <v>40.09580349170952</v>
      </c>
      <c r="X104" s="360">
        <f t="shared" si="46"/>
        <v>22409.43014370496</v>
      </c>
      <c r="Z104" s="359">
        <f t="shared" si="47"/>
        <v>44074</v>
      </c>
      <c r="AA104" s="334">
        <f t="shared" si="48"/>
        <v>92</v>
      </c>
      <c r="AB104" s="335">
        <f t="shared" si="49"/>
        <v>227.1751863850151</v>
      </c>
      <c r="AC104" s="335"/>
      <c r="AD104" s="335">
        <f t="shared" si="50"/>
        <v>187.0793828933056</v>
      </c>
      <c r="AE104" s="335">
        <f t="shared" si="60"/>
        <v>40.09580349170952</v>
      </c>
      <c r="AF104" s="360">
        <f t="shared" si="51"/>
        <v>22409.43014370496</v>
      </c>
      <c r="AH104" s="359">
        <f t="shared" si="52"/>
        <v>44074</v>
      </c>
      <c r="AI104" s="334">
        <f t="shared" si="53"/>
        <v>92</v>
      </c>
      <c r="AJ104" s="335">
        <f t="shared" si="54"/>
        <v>227.1751863850151</v>
      </c>
      <c r="AK104" s="335"/>
      <c r="AL104" s="335">
        <f t="shared" si="55"/>
        <v>187.0793828933056</v>
      </c>
      <c r="AM104" s="335">
        <f t="shared" si="61"/>
        <v>40.09580349170952</v>
      </c>
      <c r="AN104" s="360">
        <f t="shared" si="56"/>
        <v>22409.43014370496</v>
      </c>
    </row>
    <row r="105" spans="1:40" ht="12.75">
      <c r="A105" s="359">
        <f t="shared" si="31"/>
        <v>44104</v>
      </c>
      <c r="B105" s="334">
        <f t="shared" si="32"/>
        <v>93</v>
      </c>
      <c r="C105" s="335">
        <f t="shared" si="33"/>
        <v>227.1751863850151</v>
      </c>
      <c r="D105" s="335"/>
      <c r="E105" s="335">
        <f t="shared" si="34"/>
        <v>186.74525119754134</v>
      </c>
      <c r="F105" s="335">
        <f t="shared" si="57"/>
        <v>40.429935187473774</v>
      </c>
      <c r="G105" s="360">
        <f t="shared" si="35"/>
        <v>22369.00020851749</v>
      </c>
      <c r="H105" s="336" t="e">
        <f t="shared" si="36"/>
        <v>#VALUE!</v>
      </c>
      <c r="I105" s="333"/>
      <c r="J105" s="359">
        <f t="shared" si="37"/>
        <v>44104</v>
      </c>
      <c r="K105" s="334">
        <f t="shared" si="38"/>
        <v>93</v>
      </c>
      <c r="L105" s="335">
        <f t="shared" si="39"/>
        <v>227.1751863850151</v>
      </c>
      <c r="M105" s="335"/>
      <c r="N105" s="335">
        <f t="shared" si="40"/>
        <v>186.74525119754134</v>
      </c>
      <c r="O105" s="335">
        <f t="shared" si="58"/>
        <v>40.429935187473774</v>
      </c>
      <c r="P105" s="360">
        <f t="shared" si="41"/>
        <v>22369.00020851749</v>
      </c>
      <c r="R105" s="359">
        <f t="shared" si="42"/>
        <v>44104</v>
      </c>
      <c r="S105" s="334">
        <f t="shared" si="43"/>
        <v>93</v>
      </c>
      <c r="T105" s="335">
        <f t="shared" si="44"/>
        <v>227.1751863850151</v>
      </c>
      <c r="U105" s="335"/>
      <c r="V105" s="335">
        <f t="shared" si="45"/>
        <v>186.74525119754134</v>
      </c>
      <c r="W105" s="335">
        <f t="shared" si="59"/>
        <v>40.429935187473774</v>
      </c>
      <c r="X105" s="360">
        <f t="shared" si="46"/>
        <v>22369.00020851749</v>
      </c>
      <c r="Z105" s="359">
        <f t="shared" si="47"/>
        <v>44104</v>
      </c>
      <c r="AA105" s="334">
        <f t="shared" si="48"/>
        <v>93</v>
      </c>
      <c r="AB105" s="335">
        <f t="shared" si="49"/>
        <v>227.1751863850151</v>
      </c>
      <c r="AC105" s="335"/>
      <c r="AD105" s="335">
        <f t="shared" si="50"/>
        <v>186.74525119754134</v>
      </c>
      <c r="AE105" s="335">
        <f t="shared" si="60"/>
        <v>40.429935187473774</v>
      </c>
      <c r="AF105" s="360">
        <f t="shared" si="51"/>
        <v>22369.00020851749</v>
      </c>
      <c r="AH105" s="359">
        <f t="shared" si="52"/>
        <v>44104</v>
      </c>
      <c r="AI105" s="334">
        <f t="shared" si="53"/>
        <v>93</v>
      </c>
      <c r="AJ105" s="335">
        <f t="shared" si="54"/>
        <v>227.1751863850151</v>
      </c>
      <c r="AK105" s="335"/>
      <c r="AL105" s="335">
        <f t="shared" si="55"/>
        <v>186.74525119754134</v>
      </c>
      <c r="AM105" s="335">
        <f t="shared" si="61"/>
        <v>40.429935187473774</v>
      </c>
      <c r="AN105" s="360">
        <f t="shared" si="56"/>
        <v>22369.00020851749</v>
      </c>
    </row>
    <row r="106" spans="1:40" ht="12.75">
      <c r="A106" s="359">
        <f t="shared" si="31"/>
        <v>44135</v>
      </c>
      <c r="B106" s="334">
        <f t="shared" si="32"/>
        <v>94</v>
      </c>
      <c r="C106" s="335">
        <f t="shared" si="33"/>
        <v>227.1751863850151</v>
      </c>
      <c r="D106" s="335"/>
      <c r="E106" s="335">
        <f t="shared" si="34"/>
        <v>186.40833507097906</v>
      </c>
      <c r="F106" s="335">
        <f t="shared" si="57"/>
        <v>40.766851314036046</v>
      </c>
      <c r="G106" s="360">
        <f t="shared" si="35"/>
        <v>22328.233357203455</v>
      </c>
      <c r="H106" s="336" t="e">
        <f t="shared" si="36"/>
        <v>#VALUE!</v>
      </c>
      <c r="I106" s="333"/>
      <c r="J106" s="359">
        <f t="shared" si="37"/>
        <v>44135</v>
      </c>
      <c r="K106" s="334">
        <f t="shared" si="38"/>
        <v>94</v>
      </c>
      <c r="L106" s="335">
        <f t="shared" si="39"/>
        <v>227.1751863850151</v>
      </c>
      <c r="M106" s="335"/>
      <c r="N106" s="335">
        <f t="shared" si="40"/>
        <v>186.40833507097906</v>
      </c>
      <c r="O106" s="335">
        <f t="shared" si="58"/>
        <v>40.766851314036046</v>
      </c>
      <c r="P106" s="360">
        <f t="shared" si="41"/>
        <v>22328.233357203455</v>
      </c>
      <c r="R106" s="359">
        <f t="shared" si="42"/>
        <v>44135</v>
      </c>
      <c r="S106" s="334">
        <f t="shared" si="43"/>
        <v>94</v>
      </c>
      <c r="T106" s="335">
        <f t="shared" si="44"/>
        <v>227.1751863850151</v>
      </c>
      <c r="U106" s="335"/>
      <c r="V106" s="335">
        <f t="shared" si="45"/>
        <v>186.40833507097906</v>
      </c>
      <c r="W106" s="335">
        <f t="shared" si="59"/>
        <v>40.766851314036046</v>
      </c>
      <c r="X106" s="360">
        <f t="shared" si="46"/>
        <v>22328.233357203455</v>
      </c>
      <c r="Z106" s="359">
        <f t="shared" si="47"/>
        <v>44135</v>
      </c>
      <c r="AA106" s="334">
        <f t="shared" si="48"/>
        <v>94</v>
      </c>
      <c r="AB106" s="335">
        <f t="shared" si="49"/>
        <v>227.1751863850151</v>
      </c>
      <c r="AC106" s="335"/>
      <c r="AD106" s="335">
        <f t="shared" si="50"/>
        <v>186.40833507097906</v>
      </c>
      <c r="AE106" s="335">
        <f t="shared" si="60"/>
        <v>40.766851314036046</v>
      </c>
      <c r="AF106" s="360">
        <f t="shared" si="51"/>
        <v>22328.233357203455</v>
      </c>
      <c r="AH106" s="359">
        <f t="shared" si="52"/>
        <v>44135</v>
      </c>
      <c r="AI106" s="334">
        <f t="shared" si="53"/>
        <v>94</v>
      </c>
      <c r="AJ106" s="335">
        <f t="shared" si="54"/>
        <v>227.1751863850151</v>
      </c>
      <c r="AK106" s="335"/>
      <c r="AL106" s="335">
        <f t="shared" si="55"/>
        <v>186.40833507097906</v>
      </c>
      <c r="AM106" s="335">
        <f t="shared" si="61"/>
        <v>40.766851314036046</v>
      </c>
      <c r="AN106" s="360">
        <f t="shared" si="56"/>
        <v>22328.233357203455</v>
      </c>
    </row>
    <row r="107" spans="1:40" ht="12.75">
      <c r="A107" s="359">
        <f t="shared" si="31"/>
        <v>44165</v>
      </c>
      <c r="B107" s="334">
        <f t="shared" si="32"/>
        <v>95</v>
      </c>
      <c r="C107" s="335">
        <f t="shared" si="33"/>
        <v>227.1751863850151</v>
      </c>
      <c r="D107" s="335"/>
      <c r="E107" s="335">
        <f t="shared" si="34"/>
        <v>186.06861131002879</v>
      </c>
      <c r="F107" s="335">
        <f t="shared" si="57"/>
        <v>41.106575074986324</v>
      </c>
      <c r="G107" s="360">
        <f t="shared" si="35"/>
        <v>22287.126782128467</v>
      </c>
      <c r="H107" s="336" t="e">
        <f t="shared" si="36"/>
        <v>#VALUE!</v>
      </c>
      <c r="I107" s="333"/>
      <c r="J107" s="359">
        <f t="shared" si="37"/>
        <v>44165</v>
      </c>
      <c r="K107" s="334">
        <f t="shared" si="38"/>
        <v>95</v>
      </c>
      <c r="L107" s="335">
        <f t="shared" si="39"/>
        <v>227.1751863850151</v>
      </c>
      <c r="M107" s="335"/>
      <c r="N107" s="335">
        <f t="shared" si="40"/>
        <v>186.06861131002879</v>
      </c>
      <c r="O107" s="335">
        <f t="shared" si="58"/>
        <v>41.106575074986324</v>
      </c>
      <c r="P107" s="360">
        <f t="shared" si="41"/>
        <v>22287.126782128467</v>
      </c>
      <c r="R107" s="359">
        <f t="shared" si="42"/>
        <v>44165</v>
      </c>
      <c r="S107" s="334">
        <f t="shared" si="43"/>
        <v>95</v>
      </c>
      <c r="T107" s="335">
        <f t="shared" si="44"/>
        <v>227.1751863850151</v>
      </c>
      <c r="U107" s="335"/>
      <c r="V107" s="335">
        <f t="shared" si="45"/>
        <v>186.06861131002879</v>
      </c>
      <c r="W107" s="335">
        <f t="shared" si="59"/>
        <v>41.106575074986324</v>
      </c>
      <c r="X107" s="360">
        <f t="shared" si="46"/>
        <v>22287.126782128467</v>
      </c>
      <c r="Z107" s="359">
        <f t="shared" si="47"/>
        <v>44165</v>
      </c>
      <c r="AA107" s="334">
        <f t="shared" si="48"/>
        <v>95</v>
      </c>
      <c r="AB107" s="335">
        <f t="shared" si="49"/>
        <v>227.1751863850151</v>
      </c>
      <c r="AC107" s="335"/>
      <c r="AD107" s="335">
        <f t="shared" si="50"/>
        <v>186.06861131002879</v>
      </c>
      <c r="AE107" s="335">
        <f t="shared" si="60"/>
        <v>41.106575074986324</v>
      </c>
      <c r="AF107" s="360">
        <f t="shared" si="51"/>
        <v>22287.126782128467</v>
      </c>
      <c r="AH107" s="359">
        <f t="shared" si="52"/>
        <v>44165</v>
      </c>
      <c r="AI107" s="334">
        <f t="shared" si="53"/>
        <v>95</v>
      </c>
      <c r="AJ107" s="335">
        <f t="shared" si="54"/>
        <v>227.1751863850151</v>
      </c>
      <c r="AK107" s="335"/>
      <c r="AL107" s="335">
        <f t="shared" si="55"/>
        <v>186.06861131002879</v>
      </c>
      <c r="AM107" s="335">
        <f t="shared" si="61"/>
        <v>41.106575074986324</v>
      </c>
      <c r="AN107" s="360">
        <f t="shared" si="56"/>
        <v>22287.126782128467</v>
      </c>
    </row>
    <row r="108" spans="1:40" ht="12.75">
      <c r="A108" s="359">
        <f t="shared" si="31"/>
        <v>44196</v>
      </c>
      <c r="B108" s="334">
        <f t="shared" si="32"/>
        <v>96</v>
      </c>
      <c r="C108" s="335">
        <f t="shared" si="33"/>
        <v>227.1751863850151</v>
      </c>
      <c r="D108" s="335"/>
      <c r="E108" s="335">
        <f t="shared" si="34"/>
        <v>185.72605651773722</v>
      </c>
      <c r="F108" s="335">
        <f t="shared" si="57"/>
        <v>41.44912986727789</v>
      </c>
      <c r="G108" s="360">
        <f t="shared" si="35"/>
        <v>22245.67765226119</v>
      </c>
      <c r="H108" s="336" t="e">
        <f t="shared" si="36"/>
        <v>#VALUE!</v>
      </c>
      <c r="I108" s="333"/>
      <c r="J108" s="359">
        <f t="shared" si="37"/>
        <v>44196</v>
      </c>
      <c r="K108" s="334">
        <f t="shared" si="38"/>
        <v>96</v>
      </c>
      <c r="L108" s="335">
        <f t="shared" si="39"/>
        <v>227.1751863850151</v>
      </c>
      <c r="M108" s="335"/>
      <c r="N108" s="335">
        <f t="shared" si="40"/>
        <v>185.72605651773722</v>
      </c>
      <c r="O108" s="335">
        <f t="shared" si="58"/>
        <v>41.44912986727789</v>
      </c>
      <c r="P108" s="360">
        <f t="shared" si="41"/>
        <v>22245.67765226119</v>
      </c>
      <c r="R108" s="359">
        <f t="shared" si="42"/>
        <v>44196</v>
      </c>
      <c r="S108" s="334">
        <f t="shared" si="43"/>
        <v>96</v>
      </c>
      <c r="T108" s="335">
        <f t="shared" si="44"/>
        <v>227.1751863850151</v>
      </c>
      <c r="U108" s="335"/>
      <c r="V108" s="335">
        <f t="shared" si="45"/>
        <v>185.72605651773722</v>
      </c>
      <c r="W108" s="335">
        <f t="shared" si="59"/>
        <v>41.44912986727789</v>
      </c>
      <c r="X108" s="360">
        <f t="shared" si="46"/>
        <v>22245.67765226119</v>
      </c>
      <c r="Z108" s="359">
        <f t="shared" si="47"/>
        <v>44196</v>
      </c>
      <c r="AA108" s="334">
        <f t="shared" si="48"/>
        <v>96</v>
      </c>
      <c r="AB108" s="335">
        <f t="shared" si="49"/>
        <v>227.1751863850151</v>
      </c>
      <c r="AC108" s="335"/>
      <c r="AD108" s="335">
        <f t="shared" si="50"/>
        <v>185.72605651773722</v>
      </c>
      <c r="AE108" s="335">
        <f t="shared" si="60"/>
        <v>41.44912986727789</v>
      </c>
      <c r="AF108" s="360">
        <f t="shared" si="51"/>
        <v>22245.67765226119</v>
      </c>
      <c r="AH108" s="359">
        <f t="shared" si="52"/>
        <v>44196</v>
      </c>
      <c r="AI108" s="334">
        <f t="shared" si="53"/>
        <v>96</v>
      </c>
      <c r="AJ108" s="335">
        <f t="shared" si="54"/>
        <v>227.1751863850151</v>
      </c>
      <c r="AK108" s="335"/>
      <c r="AL108" s="335">
        <f t="shared" si="55"/>
        <v>185.72605651773722</v>
      </c>
      <c r="AM108" s="335">
        <f t="shared" si="61"/>
        <v>41.44912986727789</v>
      </c>
      <c r="AN108" s="360">
        <f t="shared" si="56"/>
        <v>22245.67765226119</v>
      </c>
    </row>
    <row r="109" spans="1:40" ht="12.75">
      <c r="A109" s="359">
        <f t="shared" si="31"/>
        <v>44227</v>
      </c>
      <c r="B109" s="334">
        <f t="shared" si="32"/>
        <v>97</v>
      </c>
      <c r="C109" s="335">
        <f t="shared" si="33"/>
        <v>227.1751863850151</v>
      </c>
      <c r="D109" s="335"/>
      <c r="E109" s="335">
        <f t="shared" si="34"/>
        <v>185.3806471021766</v>
      </c>
      <c r="F109" s="335">
        <f t="shared" si="57"/>
        <v>41.794539282838514</v>
      </c>
      <c r="G109" s="360">
        <f t="shared" si="35"/>
        <v>22203.883112978354</v>
      </c>
      <c r="H109" s="336" t="e">
        <f t="shared" si="36"/>
        <v>#VALUE!</v>
      </c>
      <c r="I109" s="333"/>
      <c r="J109" s="359">
        <f t="shared" si="37"/>
        <v>44227</v>
      </c>
      <c r="K109" s="334">
        <f t="shared" si="38"/>
        <v>97</v>
      </c>
      <c r="L109" s="335">
        <f t="shared" si="39"/>
        <v>227.1751863850151</v>
      </c>
      <c r="M109" s="335"/>
      <c r="N109" s="335">
        <f t="shared" si="40"/>
        <v>185.3806471021766</v>
      </c>
      <c r="O109" s="335">
        <f t="shared" si="58"/>
        <v>41.794539282838514</v>
      </c>
      <c r="P109" s="360">
        <f t="shared" si="41"/>
        <v>22203.883112978354</v>
      </c>
      <c r="R109" s="359">
        <f t="shared" si="42"/>
        <v>44227</v>
      </c>
      <c r="S109" s="334">
        <f t="shared" si="43"/>
        <v>97</v>
      </c>
      <c r="T109" s="335">
        <f t="shared" si="44"/>
        <v>227.1751863850151</v>
      </c>
      <c r="U109" s="335"/>
      <c r="V109" s="335">
        <f t="shared" si="45"/>
        <v>185.3806471021766</v>
      </c>
      <c r="W109" s="335">
        <f t="shared" si="59"/>
        <v>41.794539282838514</v>
      </c>
      <c r="X109" s="360">
        <f t="shared" si="46"/>
        <v>22203.883112978354</v>
      </c>
      <c r="Z109" s="359">
        <f t="shared" si="47"/>
        <v>44227</v>
      </c>
      <c r="AA109" s="334">
        <f t="shared" si="48"/>
        <v>97</v>
      </c>
      <c r="AB109" s="335">
        <f t="shared" si="49"/>
        <v>227.1751863850151</v>
      </c>
      <c r="AC109" s="335"/>
      <c r="AD109" s="335">
        <f t="shared" si="50"/>
        <v>185.3806471021766</v>
      </c>
      <c r="AE109" s="335">
        <f t="shared" si="60"/>
        <v>41.794539282838514</v>
      </c>
      <c r="AF109" s="360">
        <f t="shared" si="51"/>
        <v>22203.883112978354</v>
      </c>
      <c r="AH109" s="359">
        <f t="shared" si="52"/>
        <v>44227</v>
      </c>
      <c r="AI109" s="334">
        <f t="shared" si="53"/>
        <v>97</v>
      </c>
      <c r="AJ109" s="335">
        <f t="shared" si="54"/>
        <v>227.1751863850151</v>
      </c>
      <c r="AK109" s="335"/>
      <c r="AL109" s="335">
        <f t="shared" si="55"/>
        <v>185.3806471021766</v>
      </c>
      <c r="AM109" s="335">
        <f t="shared" si="61"/>
        <v>41.794539282838514</v>
      </c>
      <c r="AN109" s="360">
        <f t="shared" si="56"/>
        <v>22203.883112978354</v>
      </c>
    </row>
    <row r="110" spans="1:40" ht="12.75">
      <c r="A110" s="359">
        <f t="shared" si="31"/>
        <v>44255</v>
      </c>
      <c r="B110" s="334">
        <f t="shared" si="32"/>
        <v>98</v>
      </c>
      <c r="C110" s="335">
        <f t="shared" si="33"/>
        <v>227.1751863850151</v>
      </c>
      <c r="D110" s="335"/>
      <c r="E110" s="335">
        <f t="shared" si="34"/>
        <v>185.0323592748196</v>
      </c>
      <c r="F110" s="335">
        <f t="shared" si="57"/>
        <v>42.1428271101955</v>
      </c>
      <c r="G110" s="360">
        <f t="shared" si="35"/>
        <v>22161.74028586816</v>
      </c>
      <c r="H110" s="336" t="e">
        <f t="shared" si="36"/>
        <v>#VALUE!</v>
      </c>
      <c r="I110" s="333"/>
      <c r="J110" s="359">
        <f t="shared" si="37"/>
        <v>44255</v>
      </c>
      <c r="K110" s="334">
        <f t="shared" si="38"/>
        <v>98</v>
      </c>
      <c r="L110" s="335">
        <f t="shared" si="39"/>
        <v>227.1751863850151</v>
      </c>
      <c r="M110" s="335"/>
      <c r="N110" s="335">
        <f t="shared" si="40"/>
        <v>185.0323592748196</v>
      </c>
      <c r="O110" s="335">
        <f t="shared" si="58"/>
        <v>42.1428271101955</v>
      </c>
      <c r="P110" s="360">
        <f t="shared" si="41"/>
        <v>22161.74028586816</v>
      </c>
      <c r="R110" s="359">
        <f t="shared" si="42"/>
        <v>44255</v>
      </c>
      <c r="S110" s="334">
        <f t="shared" si="43"/>
        <v>98</v>
      </c>
      <c r="T110" s="335">
        <f t="shared" si="44"/>
        <v>227.1751863850151</v>
      </c>
      <c r="U110" s="335"/>
      <c r="V110" s="335">
        <f t="shared" si="45"/>
        <v>185.0323592748196</v>
      </c>
      <c r="W110" s="335">
        <f t="shared" si="59"/>
        <v>42.1428271101955</v>
      </c>
      <c r="X110" s="360">
        <f t="shared" si="46"/>
        <v>22161.74028586816</v>
      </c>
      <c r="Z110" s="359">
        <f t="shared" si="47"/>
        <v>44255</v>
      </c>
      <c r="AA110" s="334">
        <f t="shared" si="48"/>
        <v>98</v>
      </c>
      <c r="AB110" s="335">
        <f t="shared" si="49"/>
        <v>227.1751863850151</v>
      </c>
      <c r="AC110" s="335"/>
      <c r="AD110" s="335">
        <f t="shared" si="50"/>
        <v>185.0323592748196</v>
      </c>
      <c r="AE110" s="335">
        <f t="shared" si="60"/>
        <v>42.1428271101955</v>
      </c>
      <c r="AF110" s="360">
        <f t="shared" si="51"/>
        <v>22161.74028586816</v>
      </c>
      <c r="AH110" s="359">
        <f t="shared" si="52"/>
        <v>44255</v>
      </c>
      <c r="AI110" s="334">
        <f t="shared" si="53"/>
        <v>98</v>
      </c>
      <c r="AJ110" s="335">
        <f t="shared" si="54"/>
        <v>227.1751863850151</v>
      </c>
      <c r="AK110" s="335"/>
      <c r="AL110" s="335">
        <f t="shared" si="55"/>
        <v>185.0323592748196</v>
      </c>
      <c r="AM110" s="335">
        <f t="shared" si="61"/>
        <v>42.1428271101955</v>
      </c>
      <c r="AN110" s="360">
        <f t="shared" si="56"/>
        <v>22161.74028586816</v>
      </c>
    </row>
    <row r="111" spans="1:40" ht="12.75">
      <c r="A111" s="359">
        <f t="shared" si="31"/>
        <v>44286</v>
      </c>
      <c r="B111" s="334">
        <f t="shared" si="32"/>
        <v>99</v>
      </c>
      <c r="C111" s="335">
        <f t="shared" si="33"/>
        <v>227.1751863850151</v>
      </c>
      <c r="D111" s="335"/>
      <c r="E111" s="335">
        <f t="shared" si="34"/>
        <v>184.68116904890132</v>
      </c>
      <c r="F111" s="335">
        <f t="shared" si="57"/>
        <v>42.494017336113785</v>
      </c>
      <c r="G111" s="360">
        <f t="shared" si="35"/>
        <v>22119.246268532046</v>
      </c>
      <c r="H111" s="336" t="e">
        <f t="shared" si="36"/>
        <v>#VALUE!</v>
      </c>
      <c r="I111" s="333"/>
      <c r="J111" s="359">
        <f t="shared" si="37"/>
        <v>44286</v>
      </c>
      <c r="K111" s="334">
        <f t="shared" si="38"/>
        <v>99</v>
      </c>
      <c r="L111" s="335">
        <f t="shared" si="39"/>
        <v>227.1751863850151</v>
      </c>
      <c r="M111" s="335"/>
      <c r="N111" s="335">
        <f t="shared" si="40"/>
        <v>184.68116904890132</v>
      </c>
      <c r="O111" s="335">
        <f t="shared" si="58"/>
        <v>42.494017336113785</v>
      </c>
      <c r="P111" s="360">
        <f t="shared" si="41"/>
        <v>22119.246268532046</v>
      </c>
      <c r="R111" s="359">
        <f t="shared" si="42"/>
        <v>44286</v>
      </c>
      <c r="S111" s="334">
        <f t="shared" si="43"/>
        <v>99</v>
      </c>
      <c r="T111" s="335">
        <f t="shared" si="44"/>
        <v>227.1751863850151</v>
      </c>
      <c r="U111" s="335"/>
      <c r="V111" s="335">
        <f t="shared" si="45"/>
        <v>184.68116904890132</v>
      </c>
      <c r="W111" s="335">
        <f t="shared" si="59"/>
        <v>42.494017336113785</v>
      </c>
      <c r="X111" s="360">
        <f t="shared" si="46"/>
        <v>22119.246268532046</v>
      </c>
      <c r="Z111" s="359">
        <f t="shared" si="47"/>
        <v>44286</v>
      </c>
      <c r="AA111" s="334">
        <f t="shared" si="48"/>
        <v>99</v>
      </c>
      <c r="AB111" s="335">
        <f t="shared" si="49"/>
        <v>227.1751863850151</v>
      </c>
      <c r="AC111" s="335"/>
      <c r="AD111" s="335">
        <f t="shared" si="50"/>
        <v>184.68116904890132</v>
      </c>
      <c r="AE111" s="335">
        <f t="shared" si="60"/>
        <v>42.494017336113785</v>
      </c>
      <c r="AF111" s="360">
        <f t="shared" si="51"/>
        <v>22119.246268532046</v>
      </c>
      <c r="AH111" s="359">
        <f t="shared" si="52"/>
        <v>44286</v>
      </c>
      <c r="AI111" s="334">
        <f t="shared" si="53"/>
        <v>99</v>
      </c>
      <c r="AJ111" s="335">
        <f t="shared" si="54"/>
        <v>227.1751863850151</v>
      </c>
      <c r="AK111" s="335"/>
      <c r="AL111" s="335">
        <f t="shared" si="55"/>
        <v>184.68116904890132</v>
      </c>
      <c r="AM111" s="335">
        <f t="shared" si="61"/>
        <v>42.494017336113785</v>
      </c>
      <c r="AN111" s="360">
        <f t="shared" si="56"/>
        <v>22119.246268532046</v>
      </c>
    </row>
    <row r="112" spans="1:40" ht="12.75">
      <c r="A112" s="359">
        <f t="shared" si="31"/>
        <v>44316</v>
      </c>
      <c r="B112" s="334">
        <f t="shared" si="32"/>
        <v>100</v>
      </c>
      <c r="C112" s="335">
        <f t="shared" si="33"/>
        <v>227.1751863850151</v>
      </c>
      <c r="D112" s="335"/>
      <c r="E112" s="335">
        <f t="shared" si="34"/>
        <v>184.32705223776705</v>
      </c>
      <c r="F112" s="335">
        <f t="shared" si="57"/>
        <v>42.84813414724806</v>
      </c>
      <c r="G112" s="360">
        <f t="shared" si="35"/>
        <v>22076.3981343848</v>
      </c>
      <c r="H112" s="336" t="e">
        <f t="shared" si="36"/>
        <v>#VALUE!</v>
      </c>
      <c r="I112" s="333"/>
      <c r="J112" s="359">
        <f t="shared" si="37"/>
        <v>44316</v>
      </c>
      <c r="K112" s="334">
        <f t="shared" si="38"/>
        <v>100</v>
      </c>
      <c r="L112" s="335">
        <f t="shared" si="39"/>
        <v>227.1751863850151</v>
      </c>
      <c r="M112" s="335"/>
      <c r="N112" s="335">
        <f t="shared" si="40"/>
        <v>184.32705223776705</v>
      </c>
      <c r="O112" s="335">
        <f t="shared" si="58"/>
        <v>42.84813414724806</v>
      </c>
      <c r="P112" s="360">
        <f t="shared" si="41"/>
        <v>22076.3981343848</v>
      </c>
      <c r="R112" s="359">
        <f t="shared" si="42"/>
        <v>44316</v>
      </c>
      <c r="S112" s="334">
        <f t="shared" si="43"/>
        <v>100</v>
      </c>
      <c r="T112" s="335">
        <f t="shared" si="44"/>
        <v>227.1751863850151</v>
      </c>
      <c r="U112" s="335"/>
      <c r="V112" s="335">
        <f t="shared" si="45"/>
        <v>184.32705223776705</v>
      </c>
      <c r="W112" s="335">
        <f t="shared" si="59"/>
        <v>42.84813414724806</v>
      </c>
      <c r="X112" s="360">
        <f t="shared" si="46"/>
        <v>22076.3981343848</v>
      </c>
      <c r="Z112" s="359">
        <f t="shared" si="47"/>
        <v>44316</v>
      </c>
      <c r="AA112" s="334">
        <f t="shared" si="48"/>
        <v>100</v>
      </c>
      <c r="AB112" s="335">
        <f t="shared" si="49"/>
        <v>227.1751863850151</v>
      </c>
      <c r="AC112" s="335"/>
      <c r="AD112" s="335">
        <f t="shared" si="50"/>
        <v>184.32705223776705</v>
      </c>
      <c r="AE112" s="335">
        <f t="shared" si="60"/>
        <v>42.84813414724806</v>
      </c>
      <c r="AF112" s="360">
        <f t="shared" si="51"/>
        <v>22076.3981343848</v>
      </c>
      <c r="AH112" s="359">
        <f t="shared" si="52"/>
        <v>44316</v>
      </c>
      <c r="AI112" s="334">
        <f t="shared" si="53"/>
        <v>100</v>
      </c>
      <c r="AJ112" s="335">
        <f t="shared" si="54"/>
        <v>227.1751863850151</v>
      </c>
      <c r="AK112" s="335"/>
      <c r="AL112" s="335">
        <f t="shared" si="55"/>
        <v>184.32705223776705</v>
      </c>
      <c r="AM112" s="335">
        <f t="shared" si="61"/>
        <v>42.84813414724806</v>
      </c>
      <c r="AN112" s="360">
        <f t="shared" si="56"/>
        <v>22076.3981343848</v>
      </c>
    </row>
    <row r="113" spans="1:40" ht="12.75">
      <c r="A113" s="359">
        <f t="shared" si="31"/>
        <v>44347</v>
      </c>
      <c r="B113" s="334">
        <f t="shared" si="32"/>
        <v>101</v>
      </c>
      <c r="C113" s="335">
        <f t="shared" si="33"/>
        <v>227.1751863850151</v>
      </c>
      <c r="D113" s="335"/>
      <c r="E113" s="335">
        <f t="shared" si="34"/>
        <v>183.96998445320665</v>
      </c>
      <c r="F113" s="335">
        <f t="shared" si="57"/>
        <v>43.20520193180846</v>
      </c>
      <c r="G113" s="360">
        <f t="shared" si="35"/>
        <v>22033.192932452992</v>
      </c>
      <c r="H113" s="336" t="e">
        <f t="shared" si="36"/>
        <v>#VALUE!</v>
      </c>
      <c r="I113" s="333"/>
      <c r="J113" s="359">
        <f t="shared" si="37"/>
        <v>44347</v>
      </c>
      <c r="K113" s="334">
        <f t="shared" si="38"/>
        <v>101</v>
      </c>
      <c r="L113" s="335">
        <f t="shared" si="39"/>
        <v>227.1751863850151</v>
      </c>
      <c r="M113" s="335"/>
      <c r="N113" s="335">
        <f t="shared" si="40"/>
        <v>183.96998445320665</v>
      </c>
      <c r="O113" s="335">
        <f t="shared" si="58"/>
        <v>43.20520193180846</v>
      </c>
      <c r="P113" s="360">
        <f t="shared" si="41"/>
        <v>22033.192932452992</v>
      </c>
      <c r="R113" s="359">
        <f t="shared" si="42"/>
        <v>44347</v>
      </c>
      <c r="S113" s="334">
        <f t="shared" si="43"/>
        <v>101</v>
      </c>
      <c r="T113" s="335">
        <f t="shared" si="44"/>
        <v>227.1751863850151</v>
      </c>
      <c r="U113" s="335"/>
      <c r="V113" s="335">
        <f t="shared" si="45"/>
        <v>183.96998445320665</v>
      </c>
      <c r="W113" s="335">
        <f t="shared" si="59"/>
        <v>43.20520193180846</v>
      </c>
      <c r="X113" s="360">
        <f t="shared" si="46"/>
        <v>22033.192932452992</v>
      </c>
      <c r="Z113" s="359">
        <f t="shared" si="47"/>
        <v>44347</v>
      </c>
      <c r="AA113" s="334">
        <f t="shared" si="48"/>
        <v>101</v>
      </c>
      <c r="AB113" s="335">
        <f t="shared" si="49"/>
        <v>227.1751863850151</v>
      </c>
      <c r="AC113" s="335"/>
      <c r="AD113" s="335">
        <f t="shared" si="50"/>
        <v>183.96998445320665</v>
      </c>
      <c r="AE113" s="335">
        <f t="shared" si="60"/>
        <v>43.20520193180846</v>
      </c>
      <c r="AF113" s="360">
        <f t="shared" si="51"/>
        <v>22033.192932452992</v>
      </c>
      <c r="AH113" s="359">
        <f t="shared" si="52"/>
        <v>44347</v>
      </c>
      <c r="AI113" s="334">
        <f t="shared" si="53"/>
        <v>101</v>
      </c>
      <c r="AJ113" s="335">
        <f t="shared" si="54"/>
        <v>227.1751863850151</v>
      </c>
      <c r="AK113" s="335"/>
      <c r="AL113" s="335">
        <f t="shared" si="55"/>
        <v>183.96998445320665</v>
      </c>
      <c r="AM113" s="335">
        <f t="shared" si="61"/>
        <v>43.20520193180846</v>
      </c>
      <c r="AN113" s="360">
        <f t="shared" si="56"/>
        <v>22033.192932452992</v>
      </c>
    </row>
    <row r="114" spans="1:40" ht="12.75">
      <c r="A114" s="359">
        <f t="shared" si="31"/>
        <v>44377</v>
      </c>
      <c r="B114" s="334">
        <f t="shared" si="32"/>
        <v>102</v>
      </c>
      <c r="C114" s="335">
        <f t="shared" si="33"/>
        <v>227.1751863850151</v>
      </c>
      <c r="D114" s="335"/>
      <c r="E114" s="335">
        <f t="shared" si="34"/>
        <v>183.60994110377493</v>
      </c>
      <c r="F114" s="335">
        <f t="shared" si="57"/>
        <v>43.56524528124018</v>
      </c>
      <c r="G114" s="360">
        <f t="shared" si="35"/>
        <v>21989.627687171753</v>
      </c>
      <c r="H114" s="336" t="e">
        <f t="shared" si="36"/>
        <v>#VALUE!</v>
      </c>
      <c r="I114" s="333"/>
      <c r="J114" s="359">
        <f t="shared" si="37"/>
        <v>44377</v>
      </c>
      <c r="K114" s="334">
        <f t="shared" si="38"/>
        <v>102</v>
      </c>
      <c r="L114" s="335">
        <f t="shared" si="39"/>
        <v>227.1751863850151</v>
      </c>
      <c r="M114" s="335"/>
      <c r="N114" s="335">
        <f t="shared" si="40"/>
        <v>183.60994110377493</v>
      </c>
      <c r="O114" s="335">
        <f t="shared" si="58"/>
        <v>43.56524528124018</v>
      </c>
      <c r="P114" s="360">
        <f t="shared" si="41"/>
        <v>21989.627687171753</v>
      </c>
      <c r="R114" s="359">
        <f t="shared" si="42"/>
        <v>44377</v>
      </c>
      <c r="S114" s="334">
        <f t="shared" si="43"/>
        <v>102</v>
      </c>
      <c r="T114" s="335">
        <f t="shared" si="44"/>
        <v>227.1751863850151</v>
      </c>
      <c r="U114" s="335"/>
      <c r="V114" s="335">
        <f t="shared" si="45"/>
        <v>183.60994110377493</v>
      </c>
      <c r="W114" s="335">
        <f t="shared" si="59"/>
        <v>43.56524528124018</v>
      </c>
      <c r="X114" s="360">
        <f t="shared" si="46"/>
        <v>21989.627687171753</v>
      </c>
      <c r="Z114" s="359">
        <f t="shared" si="47"/>
        <v>44377</v>
      </c>
      <c r="AA114" s="334">
        <f t="shared" si="48"/>
        <v>102</v>
      </c>
      <c r="AB114" s="335">
        <f t="shared" si="49"/>
        <v>227.1751863850151</v>
      </c>
      <c r="AC114" s="335"/>
      <c r="AD114" s="335">
        <f t="shared" si="50"/>
        <v>183.60994110377493</v>
      </c>
      <c r="AE114" s="335">
        <f t="shared" si="60"/>
        <v>43.56524528124018</v>
      </c>
      <c r="AF114" s="360">
        <f t="shared" si="51"/>
        <v>21989.627687171753</v>
      </c>
      <c r="AH114" s="359">
        <f t="shared" si="52"/>
        <v>44377</v>
      </c>
      <c r="AI114" s="334">
        <f t="shared" si="53"/>
        <v>102</v>
      </c>
      <c r="AJ114" s="335">
        <f t="shared" si="54"/>
        <v>227.1751863850151</v>
      </c>
      <c r="AK114" s="335"/>
      <c r="AL114" s="335">
        <f t="shared" si="55"/>
        <v>183.60994110377493</v>
      </c>
      <c r="AM114" s="335">
        <f t="shared" si="61"/>
        <v>43.56524528124018</v>
      </c>
      <c r="AN114" s="360">
        <f t="shared" si="56"/>
        <v>21989.627687171753</v>
      </c>
    </row>
    <row r="115" spans="1:40" ht="12.75">
      <c r="A115" s="359">
        <f t="shared" si="31"/>
        <v>44408</v>
      </c>
      <c r="B115" s="334">
        <f t="shared" si="32"/>
        <v>103</v>
      </c>
      <c r="C115" s="335">
        <f t="shared" si="33"/>
        <v>227.1751863850151</v>
      </c>
      <c r="D115" s="335"/>
      <c r="E115" s="335">
        <f t="shared" si="34"/>
        <v>183.24689739309792</v>
      </c>
      <c r="F115" s="335">
        <f t="shared" si="57"/>
        <v>43.928288991917185</v>
      </c>
      <c r="G115" s="360">
        <f t="shared" si="35"/>
        <v>21945.699398179837</v>
      </c>
      <c r="H115" s="336" t="e">
        <f t="shared" si="36"/>
        <v>#VALUE!</v>
      </c>
      <c r="I115" s="333"/>
      <c r="J115" s="359">
        <f t="shared" si="37"/>
        <v>44408</v>
      </c>
      <c r="K115" s="334">
        <f t="shared" si="38"/>
        <v>103</v>
      </c>
      <c r="L115" s="335">
        <f t="shared" si="39"/>
        <v>227.1751863850151</v>
      </c>
      <c r="M115" s="335"/>
      <c r="N115" s="335">
        <f t="shared" si="40"/>
        <v>183.24689739309792</v>
      </c>
      <c r="O115" s="335">
        <f t="shared" si="58"/>
        <v>43.928288991917185</v>
      </c>
      <c r="P115" s="360">
        <f t="shared" si="41"/>
        <v>21945.699398179837</v>
      </c>
      <c r="R115" s="359">
        <f t="shared" si="42"/>
        <v>44408</v>
      </c>
      <c r="S115" s="334">
        <f t="shared" si="43"/>
        <v>103</v>
      </c>
      <c r="T115" s="335">
        <f t="shared" si="44"/>
        <v>227.1751863850151</v>
      </c>
      <c r="U115" s="335"/>
      <c r="V115" s="335">
        <f t="shared" si="45"/>
        <v>183.24689739309792</v>
      </c>
      <c r="W115" s="335">
        <f t="shared" si="59"/>
        <v>43.928288991917185</v>
      </c>
      <c r="X115" s="360">
        <f t="shared" si="46"/>
        <v>21945.699398179837</v>
      </c>
      <c r="Z115" s="359">
        <f t="shared" si="47"/>
        <v>44408</v>
      </c>
      <c r="AA115" s="334">
        <f t="shared" si="48"/>
        <v>103</v>
      </c>
      <c r="AB115" s="335">
        <f t="shared" si="49"/>
        <v>227.1751863850151</v>
      </c>
      <c r="AC115" s="335"/>
      <c r="AD115" s="335">
        <f t="shared" si="50"/>
        <v>183.24689739309792</v>
      </c>
      <c r="AE115" s="335">
        <f t="shared" si="60"/>
        <v>43.928288991917185</v>
      </c>
      <c r="AF115" s="360">
        <f t="shared" si="51"/>
        <v>21945.699398179837</v>
      </c>
      <c r="AH115" s="359">
        <f t="shared" si="52"/>
        <v>44408</v>
      </c>
      <c r="AI115" s="334">
        <f t="shared" si="53"/>
        <v>103</v>
      </c>
      <c r="AJ115" s="335">
        <f t="shared" si="54"/>
        <v>227.1751863850151</v>
      </c>
      <c r="AK115" s="335"/>
      <c r="AL115" s="335">
        <f t="shared" si="55"/>
        <v>183.24689739309792</v>
      </c>
      <c r="AM115" s="335">
        <f t="shared" si="61"/>
        <v>43.928288991917185</v>
      </c>
      <c r="AN115" s="360">
        <f t="shared" si="56"/>
        <v>21945.699398179837</v>
      </c>
    </row>
    <row r="116" spans="1:40" ht="12.75">
      <c r="A116" s="359">
        <f t="shared" si="31"/>
        <v>44439</v>
      </c>
      <c r="B116" s="334">
        <f t="shared" si="32"/>
        <v>104</v>
      </c>
      <c r="C116" s="335">
        <f t="shared" si="33"/>
        <v>227.1751863850151</v>
      </c>
      <c r="D116" s="335"/>
      <c r="E116" s="335">
        <f t="shared" si="34"/>
        <v>182.8808283181653</v>
      </c>
      <c r="F116" s="335">
        <f t="shared" si="57"/>
        <v>44.29435806684981</v>
      </c>
      <c r="G116" s="360">
        <f t="shared" si="35"/>
        <v>21901.405040112986</v>
      </c>
      <c r="H116" s="336" t="e">
        <f t="shared" si="36"/>
        <v>#VALUE!</v>
      </c>
      <c r="I116" s="333"/>
      <c r="J116" s="359">
        <f t="shared" si="37"/>
        <v>44439</v>
      </c>
      <c r="K116" s="334">
        <f t="shared" si="38"/>
        <v>104</v>
      </c>
      <c r="L116" s="335">
        <f t="shared" si="39"/>
        <v>227.1751863850151</v>
      </c>
      <c r="M116" s="335"/>
      <c r="N116" s="335">
        <f t="shared" si="40"/>
        <v>182.8808283181653</v>
      </c>
      <c r="O116" s="335">
        <f t="shared" si="58"/>
        <v>44.29435806684981</v>
      </c>
      <c r="P116" s="360">
        <f t="shared" si="41"/>
        <v>21901.405040112986</v>
      </c>
      <c r="R116" s="359">
        <f t="shared" si="42"/>
        <v>44439</v>
      </c>
      <c r="S116" s="334">
        <f t="shared" si="43"/>
        <v>104</v>
      </c>
      <c r="T116" s="335">
        <f t="shared" si="44"/>
        <v>227.1751863850151</v>
      </c>
      <c r="U116" s="335"/>
      <c r="V116" s="335">
        <f t="shared" si="45"/>
        <v>182.8808283181653</v>
      </c>
      <c r="W116" s="335">
        <f t="shared" si="59"/>
        <v>44.29435806684981</v>
      </c>
      <c r="X116" s="360">
        <f t="shared" si="46"/>
        <v>21901.405040112986</v>
      </c>
      <c r="Z116" s="359">
        <f t="shared" si="47"/>
        <v>44439</v>
      </c>
      <c r="AA116" s="334">
        <f t="shared" si="48"/>
        <v>104</v>
      </c>
      <c r="AB116" s="335">
        <f t="shared" si="49"/>
        <v>227.1751863850151</v>
      </c>
      <c r="AC116" s="335"/>
      <c r="AD116" s="335">
        <f t="shared" si="50"/>
        <v>182.8808283181653</v>
      </c>
      <c r="AE116" s="335">
        <f t="shared" si="60"/>
        <v>44.29435806684981</v>
      </c>
      <c r="AF116" s="360">
        <f t="shared" si="51"/>
        <v>21901.405040112986</v>
      </c>
      <c r="AH116" s="359">
        <f t="shared" si="52"/>
        <v>44439</v>
      </c>
      <c r="AI116" s="334">
        <f t="shared" si="53"/>
        <v>104</v>
      </c>
      <c r="AJ116" s="335">
        <f t="shared" si="54"/>
        <v>227.1751863850151</v>
      </c>
      <c r="AK116" s="335"/>
      <c r="AL116" s="335">
        <f t="shared" si="55"/>
        <v>182.8808283181653</v>
      </c>
      <c r="AM116" s="335">
        <f t="shared" si="61"/>
        <v>44.29435806684981</v>
      </c>
      <c r="AN116" s="360">
        <f t="shared" si="56"/>
        <v>21901.405040112986</v>
      </c>
    </row>
    <row r="117" spans="1:40" ht="12.75">
      <c r="A117" s="359">
        <f t="shared" si="31"/>
        <v>44469</v>
      </c>
      <c r="B117" s="334">
        <f t="shared" si="32"/>
        <v>105</v>
      </c>
      <c r="C117" s="335">
        <f t="shared" si="33"/>
        <v>227.1751863850151</v>
      </c>
      <c r="D117" s="335"/>
      <c r="E117" s="335">
        <f t="shared" si="34"/>
        <v>182.51170866760822</v>
      </c>
      <c r="F117" s="335">
        <f t="shared" si="57"/>
        <v>44.66347771740689</v>
      </c>
      <c r="G117" s="360">
        <f t="shared" si="35"/>
        <v>21856.74156239558</v>
      </c>
      <c r="H117" s="336" t="e">
        <f t="shared" si="36"/>
        <v>#VALUE!</v>
      </c>
      <c r="I117" s="333"/>
      <c r="J117" s="359">
        <f t="shared" si="37"/>
        <v>44469</v>
      </c>
      <c r="K117" s="334">
        <f t="shared" si="38"/>
        <v>105</v>
      </c>
      <c r="L117" s="335">
        <f t="shared" si="39"/>
        <v>227.1751863850151</v>
      </c>
      <c r="M117" s="335"/>
      <c r="N117" s="335">
        <f t="shared" si="40"/>
        <v>182.51170866760822</v>
      </c>
      <c r="O117" s="335">
        <f t="shared" si="58"/>
        <v>44.66347771740689</v>
      </c>
      <c r="P117" s="360">
        <f t="shared" si="41"/>
        <v>21856.74156239558</v>
      </c>
      <c r="R117" s="359">
        <f t="shared" si="42"/>
        <v>44469</v>
      </c>
      <c r="S117" s="334">
        <f t="shared" si="43"/>
        <v>105</v>
      </c>
      <c r="T117" s="335">
        <f t="shared" si="44"/>
        <v>227.1751863850151</v>
      </c>
      <c r="U117" s="335"/>
      <c r="V117" s="335">
        <f t="shared" si="45"/>
        <v>182.51170866760822</v>
      </c>
      <c r="W117" s="335">
        <f t="shared" si="59"/>
        <v>44.66347771740689</v>
      </c>
      <c r="X117" s="360">
        <f t="shared" si="46"/>
        <v>21856.74156239558</v>
      </c>
      <c r="Z117" s="359">
        <f t="shared" si="47"/>
        <v>44469</v>
      </c>
      <c r="AA117" s="334">
        <f t="shared" si="48"/>
        <v>105</v>
      </c>
      <c r="AB117" s="335">
        <f t="shared" si="49"/>
        <v>227.1751863850151</v>
      </c>
      <c r="AC117" s="335"/>
      <c r="AD117" s="335">
        <f t="shared" si="50"/>
        <v>182.51170866760822</v>
      </c>
      <c r="AE117" s="335">
        <f t="shared" si="60"/>
        <v>44.66347771740689</v>
      </c>
      <c r="AF117" s="360">
        <f t="shared" si="51"/>
        <v>21856.74156239558</v>
      </c>
      <c r="AH117" s="359">
        <f t="shared" si="52"/>
        <v>44469</v>
      </c>
      <c r="AI117" s="334">
        <f t="shared" si="53"/>
        <v>105</v>
      </c>
      <c r="AJ117" s="335">
        <f t="shared" si="54"/>
        <v>227.1751863850151</v>
      </c>
      <c r="AK117" s="335"/>
      <c r="AL117" s="335">
        <f t="shared" si="55"/>
        <v>182.51170866760822</v>
      </c>
      <c r="AM117" s="335">
        <f t="shared" si="61"/>
        <v>44.66347771740689</v>
      </c>
      <c r="AN117" s="360">
        <f t="shared" si="56"/>
        <v>21856.74156239558</v>
      </c>
    </row>
    <row r="118" spans="1:40" ht="12.75">
      <c r="A118" s="359">
        <f t="shared" si="31"/>
        <v>44500</v>
      </c>
      <c r="B118" s="334">
        <f t="shared" si="32"/>
        <v>106</v>
      </c>
      <c r="C118" s="335">
        <f t="shared" si="33"/>
        <v>227.1751863850151</v>
      </c>
      <c r="D118" s="335"/>
      <c r="E118" s="335">
        <f t="shared" si="34"/>
        <v>182.13951301996315</v>
      </c>
      <c r="F118" s="335">
        <f t="shared" si="57"/>
        <v>45.03567336505196</v>
      </c>
      <c r="G118" s="360">
        <f t="shared" si="35"/>
        <v>21811.705889030527</v>
      </c>
      <c r="H118" s="336" t="e">
        <f t="shared" si="36"/>
        <v>#VALUE!</v>
      </c>
      <c r="I118" s="333"/>
      <c r="J118" s="359">
        <f t="shared" si="37"/>
        <v>44500</v>
      </c>
      <c r="K118" s="334">
        <f t="shared" si="38"/>
        <v>106</v>
      </c>
      <c r="L118" s="335">
        <f t="shared" si="39"/>
        <v>227.1751863850151</v>
      </c>
      <c r="M118" s="335"/>
      <c r="N118" s="335">
        <f t="shared" si="40"/>
        <v>182.13951301996315</v>
      </c>
      <c r="O118" s="335">
        <f t="shared" si="58"/>
        <v>45.03567336505196</v>
      </c>
      <c r="P118" s="360">
        <f t="shared" si="41"/>
        <v>21811.705889030527</v>
      </c>
      <c r="R118" s="359">
        <f t="shared" si="42"/>
        <v>44500</v>
      </c>
      <c r="S118" s="334">
        <f t="shared" si="43"/>
        <v>106</v>
      </c>
      <c r="T118" s="335">
        <f t="shared" si="44"/>
        <v>227.1751863850151</v>
      </c>
      <c r="U118" s="335"/>
      <c r="V118" s="335">
        <f t="shared" si="45"/>
        <v>182.13951301996315</v>
      </c>
      <c r="W118" s="335">
        <f t="shared" si="59"/>
        <v>45.03567336505196</v>
      </c>
      <c r="X118" s="360">
        <f t="shared" si="46"/>
        <v>21811.705889030527</v>
      </c>
      <c r="Z118" s="359">
        <f t="shared" si="47"/>
        <v>44500</v>
      </c>
      <c r="AA118" s="334">
        <f t="shared" si="48"/>
        <v>106</v>
      </c>
      <c r="AB118" s="335">
        <f t="shared" si="49"/>
        <v>227.1751863850151</v>
      </c>
      <c r="AC118" s="335"/>
      <c r="AD118" s="335">
        <f t="shared" si="50"/>
        <v>182.13951301996315</v>
      </c>
      <c r="AE118" s="335">
        <f t="shared" si="60"/>
        <v>45.03567336505196</v>
      </c>
      <c r="AF118" s="360">
        <f t="shared" si="51"/>
        <v>21811.705889030527</v>
      </c>
      <c r="AH118" s="359">
        <f t="shared" si="52"/>
        <v>44500</v>
      </c>
      <c r="AI118" s="334">
        <f t="shared" si="53"/>
        <v>106</v>
      </c>
      <c r="AJ118" s="335">
        <f t="shared" si="54"/>
        <v>227.1751863850151</v>
      </c>
      <c r="AK118" s="335"/>
      <c r="AL118" s="335">
        <f t="shared" si="55"/>
        <v>182.13951301996315</v>
      </c>
      <c r="AM118" s="335">
        <f t="shared" si="61"/>
        <v>45.03567336505196</v>
      </c>
      <c r="AN118" s="360">
        <f t="shared" si="56"/>
        <v>21811.705889030527</v>
      </c>
    </row>
    <row r="119" spans="1:40" ht="12.75">
      <c r="A119" s="359">
        <f t="shared" si="31"/>
        <v>44530</v>
      </c>
      <c r="B119" s="334">
        <f t="shared" si="32"/>
        <v>107</v>
      </c>
      <c r="C119" s="335">
        <f t="shared" si="33"/>
        <v>227.1751863850151</v>
      </c>
      <c r="D119" s="335"/>
      <c r="E119" s="335">
        <f t="shared" si="34"/>
        <v>181.76421574192105</v>
      </c>
      <c r="F119" s="335">
        <f t="shared" si="57"/>
        <v>45.41097064309406</v>
      </c>
      <c r="G119" s="360">
        <f t="shared" si="35"/>
        <v>21766.294918387433</v>
      </c>
      <c r="H119" s="336" t="e">
        <f t="shared" si="36"/>
        <v>#VALUE!</v>
      </c>
      <c r="I119" s="333"/>
      <c r="J119" s="359">
        <f t="shared" si="37"/>
        <v>44530</v>
      </c>
      <c r="K119" s="334">
        <f t="shared" si="38"/>
        <v>107</v>
      </c>
      <c r="L119" s="335">
        <f t="shared" si="39"/>
        <v>227.1751863850151</v>
      </c>
      <c r="M119" s="335"/>
      <c r="N119" s="335">
        <f t="shared" si="40"/>
        <v>181.76421574192105</v>
      </c>
      <c r="O119" s="335">
        <f t="shared" si="58"/>
        <v>45.41097064309406</v>
      </c>
      <c r="P119" s="360">
        <f t="shared" si="41"/>
        <v>21766.294918387433</v>
      </c>
      <c r="R119" s="359">
        <f t="shared" si="42"/>
        <v>44530</v>
      </c>
      <c r="S119" s="334">
        <f t="shared" si="43"/>
        <v>107</v>
      </c>
      <c r="T119" s="335">
        <f t="shared" si="44"/>
        <v>227.1751863850151</v>
      </c>
      <c r="U119" s="335"/>
      <c r="V119" s="335">
        <f t="shared" si="45"/>
        <v>181.76421574192105</v>
      </c>
      <c r="W119" s="335">
        <f t="shared" si="59"/>
        <v>45.41097064309406</v>
      </c>
      <c r="X119" s="360">
        <f t="shared" si="46"/>
        <v>21766.294918387433</v>
      </c>
      <c r="Z119" s="359">
        <f t="shared" si="47"/>
        <v>44530</v>
      </c>
      <c r="AA119" s="334">
        <f t="shared" si="48"/>
        <v>107</v>
      </c>
      <c r="AB119" s="335">
        <f t="shared" si="49"/>
        <v>227.1751863850151</v>
      </c>
      <c r="AC119" s="335"/>
      <c r="AD119" s="335">
        <f t="shared" si="50"/>
        <v>181.76421574192105</v>
      </c>
      <c r="AE119" s="335">
        <f t="shared" si="60"/>
        <v>45.41097064309406</v>
      </c>
      <c r="AF119" s="360">
        <f t="shared" si="51"/>
        <v>21766.294918387433</v>
      </c>
      <c r="AH119" s="359">
        <f t="shared" si="52"/>
        <v>44530</v>
      </c>
      <c r="AI119" s="334">
        <f t="shared" si="53"/>
        <v>107</v>
      </c>
      <c r="AJ119" s="335">
        <f t="shared" si="54"/>
        <v>227.1751863850151</v>
      </c>
      <c r="AK119" s="335"/>
      <c r="AL119" s="335">
        <f t="shared" si="55"/>
        <v>181.76421574192105</v>
      </c>
      <c r="AM119" s="335">
        <f t="shared" si="61"/>
        <v>45.41097064309406</v>
      </c>
      <c r="AN119" s="360">
        <f t="shared" si="56"/>
        <v>21766.294918387433</v>
      </c>
    </row>
    <row r="120" spans="1:40" ht="12.75">
      <c r="A120" s="359">
        <f t="shared" si="31"/>
        <v>44561</v>
      </c>
      <c r="B120" s="334">
        <f t="shared" si="32"/>
        <v>108</v>
      </c>
      <c r="C120" s="335">
        <f t="shared" si="33"/>
        <v>227.1751863850151</v>
      </c>
      <c r="D120" s="335"/>
      <c r="E120" s="335">
        <f t="shared" si="34"/>
        <v>181.38579098656194</v>
      </c>
      <c r="F120" s="335">
        <f t="shared" si="57"/>
        <v>45.789395398453166</v>
      </c>
      <c r="G120" s="360">
        <f t="shared" si="35"/>
        <v>21720.50552298898</v>
      </c>
      <c r="H120" s="336" t="e">
        <f t="shared" si="36"/>
        <v>#VALUE!</v>
      </c>
      <c r="I120" s="333"/>
      <c r="J120" s="359">
        <f t="shared" si="37"/>
        <v>44561</v>
      </c>
      <c r="K120" s="334">
        <f t="shared" si="38"/>
        <v>108</v>
      </c>
      <c r="L120" s="335">
        <f t="shared" si="39"/>
        <v>227.1751863850151</v>
      </c>
      <c r="M120" s="335"/>
      <c r="N120" s="335">
        <f t="shared" si="40"/>
        <v>181.38579098656194</v>
      </c>
      <c r="O120" s="335">
        <f t="shared" si="58"/>
        <v>45.789395398453166</v>
      </c>
      <c r="P120" s="360">
        <f t="shared" si="41"/>
        <v>21720.50552298898</v>
      </c>
      <c r="R120" s="359">
        <f t="shared" si="42"/>
        <v>44561</v>
      </c>
      <c r="S120" s="334">
        <f t="shared" si="43"/>
        <v>108</v>
      </c>
      <c r="T120" s="335">
        <f t="shared" si="44"/>
        <v>227.1751863850151</v>
      </c>
      <c r="U120" s="335"/>
      <c r="V120" s="335">
        <f t="shared" si="45"/>
        <v>181.38579098656194</v>
      </c>
      <c r="W120" s="335">
        <f t="shared" si="59"/>
        <v>45.789395398453166</v>
      </c>
      <c r="X120" s="360">
        <f t="shared" si="46"/>
        <v>21720.50552298898</v>
      </c>
      <c r="Z120" s="359">
        <f t="shared" si="47"/>
        <v>44561</v>
      </c>
      <c r="AA120" s="334">
        <f t="shared" si="48"/>
        <v>108</v>
      </c>
      <c r="AB120" s="335">
        <f t="shared" si="49"/>
        <v>227.1751863850151</v>
      </c>
      <c r="AC120" s="335"/>
      <c r="AD120" s="335">
        <f t="shared" si="50"/>
        <v>181.38579098656194</v>
      </c>
      <c r="AE120" s="335">
        <f t="shared" si="60"/>
        <v>45.789395398453166</v>
      </c>
      <c r="AF120" s="360">
        <f t="shared" si="51"/>
        <v>21720.50552298898</v>
      </c>
      <c r="AH120" s="359">
        <f t="shared" si="52"/>
        <v>44561</v>
      </c>
      <c r="AI120" s="334">
        <f t="shared" si="53"/>
        <v>108</v>
      </c>
      <c r="AJ120" s="335">
        <f t="shared" si="54"/>
        <v>227.1751863850151</v>
      </c>
      <c r="AK120" s="335"/>
      <c r="AL120" s="335">
        <f t="shared" si="55"/>
        <v>181.38579098656194</v>
      </c>
      <c r="AM120" s="335">
        <f t="shared" si="61"/>
        <v>45.789395398453166</v>
      </c>
      <c r="AN120" s="360">
        <f t="shared" si="56"/>
        <v>21720.50552298898</v>
      </c>
    </row>
    <row r="121" spans="1:40" ht="12.75">
      <c r="A121" s="359">
        <f t="shared" si="31"/>
        <v>44592</v>
      </c>
      <c r="B121" s="334">
        <f t="shared" si="32"/>
        <v>109</v>
      </c>
      <c r="C121" s="335">
        <f t="shared" si="33"/>
        <v>227.1751863850151</v>
      </c>
      <c r="D121" s="335"/>
      <c r="E121" s="335">
        <f t="shared" si="34"/>
        <v>181.00421269157482</v>
      </c>
      <c r="F121" s="335">
        <f t="shared" si="57"/>
        <v>46.17097369344029</v>
      </c>
      <c r="G121" s="360">
        <f t="shared" si="35"/>
        <v>21674.33454929554</v>
      </c>
      <c r="H121" s="336" t="e">
        <f t="shared" si="36"/>
        <v>#VALUE!</v>
      </c>
      <c r="I121" s="333"/>
      <c r="J121" s="359">
        <f t="shared" si="37"/>
        <v>44592</v>
      </c>
      <c r="K121" s="334">
        <f t="shared" si="38"/>
        <v>109</v>
      </c>
      <c r="L121" s="335">
        <f t="shared" si="39"/>
        <v>227.1751863850151</v>
      </c>
      <c r="M121" s="335"/>
      <c r="N121" s="335">
        <f t="shared" si="40"/>
        <v>181.00421269157482</v>
      </c>
      <c r="O121" s="335">
        <f t="shared" si="58"/>
        <v>46.17097369344029</v>
      </c>
      <c r="P121" s="360">
        <f t="shared" si="41"/>
        <v>21674.33454929554</v>
      </c>
      <c r="R121" s="359">
        <f t="shared" si="42"/>
        <v>44592</v>
      </c>
      <c r="S121" s="334">
        <f t="shared" si="43"/>
        <v>109</v>
      </c>
      <c r="T121" s="335">
        <f t="shared" si="44"/>
        <v>227.1751863850151</v>
      </c>
      <c r="U121" s="335"/>
      <c r="V121" s="335">
        <f t="shared" si="45"/>
        <v>181.00421269157482</v>
      </c>
      <c r="W121" s="335">
        <f t="shared" si="59"/>
        <v>46.17097369344029</v>
      </c>
      <c r="X121" s="360">
        <f t="shared" si="46"/>
        <v>21674.33454929554</v>
      </c>
      <c r="Z121" s="359">
        <f t="shared" si="47"/>
        <v>44592</v>
      </c>
      <c r="AA121" s="334">
        <f t="shared" si="48"/>
        <v>109</v>
      </c>
      <c r="AB121" s="335">
        <f t="shared" si="49"/>
        <v>227.1751863850151</v>
      </c>
      <c r="AC121" s="335"/>
      <c r="AD121" s="335">
        <f t="shared" si="50"/>
        <v>181.00421269157482</v>
      </c>
      <c r="AE121" s="335">
        <f t="shared" si="60"/>
        <v>46.17097369344029</v>
      </c>
      <c r="AF121" s="360">
        <f t="shared" si="51"/>
        <v>21674.33454929554</v>
      </c>
      <c r="AH121" s="359">
        <f t="shared" si="52"/>
        <v>44592</v>
      </c>
      <c r="AI121" s="334">
        <f t="shared" si="53"/>
        <v>109</v>
      </c>
      <c r="AJ121" s="335">
        <f t="shared" si="54"/>
        <v>227.1751863850151</v>
      </c>
      <c r="AK121" s="335"/>
      <c r="AL121" s="335">
        <f t="shared" si="55"/>
        <v>181.00421269157482</v>
      </c>
      <c r="AM121" s="335">
        <f t="shared" si="61"/>
        <v>46.17097369344029</v>
      </c>
      <c r="AN121" s="360">
        <f t="shared" si="56"/>
        <v>21674.33454929554</v>
      </c>
    </row>
    <row r="122" spans="1:40" ht="12.75">
      <c r="A122" s="359">
        <f t="shared" si="31"/>
        <v>44620</v>
      </c>
      <c r="B122" s="334">
        <f t="shared" si="32"/>
        <v>110</v>
      </c>
      <c r="C122" s="335">
        <f t="shared" si="33"/>
        <v>227.1751863850151</v>
      </c>
      <c r="D122" s="335"/>
      <c r="E122" s="335">
        <f t="shared" si="34"/>
        <v>180.61945457746285</v>
      </c>
      <c r="F122" s="335">
        <f t="shared" si="57"/>
        <v>46.55573180755226</v>
      </c>
      <c r="G122" s="360">
        <f t="shared" si="35"/>
        <v>21627.77881748799</v>
      </c>
      <c r="H122" s="336" t="e">
        <f t="shared" si="36"/>
        <v>#VALUE!</v>
      </c>
      <c r="I122" s="333"/>
      <c r="J122" s="359">
        <f t="shared" si="37"/>
        <v>44620</v>
      </c>
      <c r="K122" s="334">
        <f t="shared" si="38"/>
        <v>110</v>
      </c>
      <c r="L122" s="335">
        <f t="shared" si="39"/>
        <v>227.1751863850151</v>
      </c>
      <c r="M122" s="335"/>
      <c r="N122" s="335">
        <f t="shared" si="40"/>
        <v>180.61945457746285</v>
      </c>
      <c r="O122" s="335">
        <f t="shared" si="58"/>
        <v>46.55573180755226</v>
      </c>
      <c r="P122" s="360">
        <f t="shared" si="41"/>
        <v>21627.77881748799</v>
      </c>
      <c r="R122" s="359">
        <f t="shared" si="42"/>
        <v>44620</v>
      </c>
      <c r="S122" s="334">
        <f t="shared" si="43"/>
        <v>110</v>
      </c>
      <c r="T122" s="335">
        <f t="shared" si="44"/>
        <v>227.1751863850151</v>
      </c>
      <c r="U122" s="335"/>
      <c r="V122" s="335">
        <f t="shared" si="45"/>
        <v>180.61945457746285</v>
      </c>
      <c r="W122" s="335">
        <f t="shared" si="59"/>
        <v>46.55573180755226</v>
      </c>
      <c r="X122" s="360">
        <f t="shared" si="46"/>
        <v>21627.77881748799</v>
      </c>
      <c r="Z122" s="359">
        <f t="shared" si="47"/>
        <v>44620</v>
      </c>
      <c r="AA122" s="334">
        <f t="shared" si="48"/>
        <v>110</v>
      </c>
      <c r="AB122" s="335">
        <f t="shared" si="49"/>
        <v>227.1751863850151</v>
      </c>
      <c r="AC122" s="335"/>
      <c r="AD122" s="335">
        <f t="shared" si="50"/>
        <v>180.61945457746285</v>
      </c>
      <c r="AE122" s="335">
        <f t="shared" si="60"/>
        <v>46.55573180755226</v>
      </c>
      <c r="AF122" s="360">
        <f t="shared" si="51"/>
        <v>21627.77881748799</v>
      </c>
      <c r="AH122" s="359">
        <f t="shared" si="52"/>
        <v>44620</v>
      </c>
      <c r="AI122" s="334">
        <f t="shared" si="53"/>
        <v>110</v>
      </c>
      <c r="AJ122" s="335">
        <f t="shared" si="54"/>
        <v>227.1751863850151</v>
      </c>
      <c r="AK122" s="335"/>
      <c r="AL122" s="335">
        <f t="shared" si="55"/>
        <v>180.61945457746285</v>
      </c>
      <c r="AM122" s="335">
        <f t="shared" si="61"/>
        <v>46.55573180755226</v>
      </c>
      <c r="AN122" s="360">
        <f t="shared" si="56"/>
        <v>21627.77881748799</v>
      </c>
    </row>
    <row r="123" spans="1:40" ht="12.75">
      <c r="A123" s="359">
        <f t="shared" si="31"/>
        <v>44651</v>
      </c>
      <c r="B123" s="334">
        <f t="shared" si="32"/>
        <v>111</v>
      </c>
      <c r="C123" s="335">
        <f t="shared" si="33"/>
        <v>227.1751863850151</v>
      </c>
      <c r="D123" s="335"/>
      <c r="E123" s="335">
        <f t="shared" si="34"/>
        <v>180.23149014573323</v>
      </c>
      <c r="F123" s="335">
        <f t="shared" si="57"/>
        <v>46.94369623928188</v>
      </c>
      <c r="G123" s="360">
        <f t="shared" si="35"/>
        <v>21580.835121248707</v>
      </c>
      <c r="H123" s="336" t="e">
        <f t="shared" si="36"/>
        <v>#VALUE!</v>
      </c>
      <c r="I123" s="333"/>
      <c r="J123" s="359">
        <f t="shared" si="37"/>
        <v>44651</v>
      </c>
      <c r="K123" s="334">
        <f t="shared" si="38"/>
        <v>111</v>
      </c>
      <c r="L123" s="335">
        <f t="shared" si="39"/>
        <v>227.1751863850151</v>
      </c>
      <c r="M123" s="335"/>
      <c r="N123" s="335">
        <f t="shared" si="40"/>
        <v>180.23149014573323</v>
      </c>
      <c r="O123" s="335">
        <f t="shared" si="58"/>
        <v>46.94369623928188</v>
      </c>
      <c r="P123" s="360">
        <f t="shared" si="41"/>
        <v>21580.835121248707</v>
      </c>
      <c r="R123" s="359">
        <f t="shared" si="42"/>
        <v>44651</v>
      </c>
      <c r="S123" s="334">
        <f t="shared" si="43"/>
        <v>111</v>
      </c>
      <c r="T123" s="335">
        <f t="shared" si="44"/>
        <v>227.1751863850151</v>
      </c>
      <c r="U123" s="335"/>
      <c r="V123" s="335">
        <f t="shared" si="45"/>
        <v>180.23149014573323</v>
      </c>
      <c r="W123" s="335">
        <f t="shared" si="59"/>
        <v>46.94369623928188</v>
      </c>
      <c r="X123" s="360">
        <f t="shared" si="46"/>
        <v>21580.835121248707</v>
      </c>
      <c r="Z123" s="359">
        <f t="shared" si="47"/>
        <v>44651</v>
      </c>
      <c r="AA123" s="334">
        <f t="shared" si="48"/>
        <v>111</v>
      </c>
      <c r="AB123" s="335">
        <f t="shared" si="49"/>
        <v>227.1751863850151</v>
      </c>
      <c r="AC123" s="335"/>
      <c r="AD123" s="335">
        <f t="shared" si="50"/>
        <v>180.23149014573323</v>
      </c>
      <c r="AE123" s="335">
        <f t="shared" si="60"/>
        <v>46.94369623928188</v>
      </c>
      <c r="AF123" s="360">
        <f t="shared" si="51"/>
        <v>21580.835121248707</v>
      </c>
      <c r="AH123" s="359">
        <f t="shared" si="52"/>
        <v>44651</v>
      </c>
      <c r="AI123" s="334">
        <f t="shared" si="53"/>
        <v>111</v>
      </c>
      <c r="AJ123" s="335">
        <f t="shared" si="54"/>
        <v>227.1751863850151</v>
      </c>
      <c r="AK123" s="335"/>
      <c r="AL123" s="335">
        <f t="shared" si="55"/>
        <v>180.23149014573323</v>
      </c>
      <c r="AM123" s="335">
        <f t="shared" si="61"/>
        <v>46.94369623928188</v>
      </c>
      <c r="AN123" s="360">
        <f t="shared" si="56"/>
        <v>21580.835121248707</v>
      </c>
    </row>
    <row r="124" spans="1:40" ht="12.75">
      <c r="A124" s="359">
        <f t="shared" si="31"/>
        <v>44681</v>
      </c>
      <c r="B124" s="334">
        <f t="shared" si="32"/>
        <v>112</v>
      </c>
      <c r="C124" s="335">
        <f t="shared" si="33"/>
        <v>227.1751863850151</v>
      </c>
      <c r="D124" s="335"/>
      <c r="E124" s="335">
        <f t="shared" si="34"/>
        <v>179.84029267707257</v>
      </c>
      <c r="F124" s="335">
        <f t="shared" si="57"/>
        <v>47.33489370794254</v>
      </c>
      <c r="G124" s="360">
        <f t="shared" si="35"/>
        <v>21533.500227540764</v>
      </c>
      <c r="H124" s="336" t="e">
        <f t="shared" si="36"/>
        <v>#VALUE!</v>
      </c>
      <c r="I124" s="333"/>
      <c r="J124" s="359">
        <f t="shared" si="37"/>
        <v>44681</v>
      </c>
      <c r="K124" s="334">
        <f t="shared" si="38"/>
        <v>112</v>
      </c>
      <c r="L124" s="335">
        <f t="shared" si="39"/>
        <v>227.1751863850151</v>
      </c>
      <c r="M124" s="335"/>
      <c r="N124" s="335">
        <f t="shared" si="40"/>
        <v>179.84029267707257</v>
      </c>
      <c r="O124" s="335">
        <f t="shared" si="58"/>
        <v>47.33489370794254</v>
      </c>
      <c r="P124" s="360">
        <f t="shared" si="41"/>
        <v>21533.500227540764</v>
      </c>
      <c r="R124" s="359">
        <f t="shared" si="42"/>
        <v>44681</v>
      </c>
      <c r="S124" s="334">
        <f t="shared" si="43"/>
        <v>112</v>
      </c>
      <c r="T124" s="335">
        <f t="shared" si="44"/>
        <v>227.1751863850151</v>
      </c>
      <c r="U124" s="335"/>
      <c r="V124" s="335">
        <f t="shared" si="45"/>
        <v>179.84029267707257</v>
      </c>
      <c r="W124" s="335">
        <f t="shared" si="59"/>
        <v>47.33489370794254</v>
      </c>
      <c r="X124" s="360">
        <f t="shared" si="46"/>
        <v>21533.500227540764</v>
      </c>
      <c r="Z124" s="359">
        <f t="shared" si="47"/>
        <v>44681</v>
      </c>
      <c r="AA124" s="334">
        <f t="shared" si="48"/>
        <v>112</v>
      </c>
      <c r="AB124" s="335">
        <f t="shared" si="49"/>
        <v>227.1751863850151</v>
      </c>
      <c r="AC124" s="335"/>
      <c r="AD124" s="335">
        <f t="shared" si="50"/>
        <v>179.84029267707257</v>
      </c>
      <c r="AE124" s="335">
        <f t="shared" si="60"/>
        <v>47.33489370794254</v>
      </c>
      <c r="AF124" s="360">
        <f t="shared" si="51"/>
        <v>21533.500227540764</v>
      </c>
      <c r="AH124" s="359">
        <f t="shared" si="52"/>
        <v>44681</v>
      </c>
      <c r="AI124" s="334">
        <f t="shared" si="53"/>
        <v>112</v>
      </c>
      <c r="AJ124" s="335">
        <f t="shared" si="54"/>
        <v>227.1751863850151</v>
      </c>
      <c r="AK124" s="335"/>
      <c r="AL124" s="335">
        <f t="shared" si="55"/>
        <v>179.84029267707257</v>
      </c>
      <c r="AM124" s="335">
        <f t="shared" si="61"/>
        <v>47.33489370794254</v>
      </c>
      <c r="AN124" s="360">
        <f t="shared" si="56"/>
        <v>21533.500227540764</v>
      </c>
    </row>
    <row r="125" spans="1:40" ht="12.75">
      <c r="A125" s="359">
        <f t="shared" si="31"/>
        <v>44712</v>
      </c>
      <c r="B125" s="334">
        <f t="shared" si="32"/>
        <v>113</v>
      </c>
      <c r="C125" s="335">
        <f t="shared" si="33"/>
        <v>227.1751863850151</v>
      </c>
      <c r="D125" s="335"/>
      <c r="E125" s="335">
        <f t="shared" si="34"/>
        <v>179.44583522950637</v>
      </c>
      <c r="F125" s="335">
        <f t="shared" si="57"/>
        <v>47.72935115550874</v>
      </c>
      <c r="G125" s="360">
        <f t="shared" si="35"/>
        <v>21485.770876385257</v>
      </c>
      <c r="H125" s="336" t="e">
        <f t="shared" si="36"/>
        <v>#VALUE!</v>
      </c>
      <c r="I125" s="333"/>
      <c r="J125" s="359">
        <f t="shared" si="37"/>
        <v>44712</v>
      </c>
      <c r="K125" s="334">
        <f t="shared" si="38"/>
        <v>113</v>
      </c>
      <c r="L125" s="335">
        <f t="shared" si="39"/>
        <v>227.1751863850151</v>
      </c>
      <c r="M125" s="335"/>
      <c r="N125" s="335">
        <f t="shared" si="40"/>
        <v>179.44583522950637</v>
      </c>
      <c r="O125" s="335">
        <f t="shared" si="58"/>
        <v>47.72935115550874</v>
      </c>
      <c r="P125" s="360">
        <f t="shared" si="41"/>
        <v>21485.770876385257</v>
      </c>
      <c r="R125" s="359">
        <f t="shared" si="42"/>
        <v>44712</v>
      </c>
      <c r="S125" s="334">
        <f t="shared" si="43"/>
        <v>113</v>
      </c>
      <c r="T125" s="335">
        <f t="shared" si="44"/>
        <v>227.1751863850151</v>
      </c>
      <c r="U125" s="335"/>
      <c r="V125" s="335">
        <f t="shared" si="45"/>
        <v>179.44583522950637</v>
      </c>
      <c r="W125" s="335">
        <f t="shared" si="59"/>
        <v>47.72935115550874</v>
      </c>
      <c r="X125" s="360">
        <f t="shared" si="46"/>
        <v>21485.770876385257</v>
      </c>
      <c r="Z125" s="359">
        <f t="shared" si="47"/>
        <v>44712</v>
      </c>
      <c r="AA125" s="334">
        <f t="shared" si="48"/>
        <v>113</v>
      </c>
      <c r="AB125" s="335">
        <f t="shared" si="49"/>
        <v>227.1751863850151</v>
      </c>
      <c r="AC125" s="335"/>
      <c r="AD125" s="335">
        <f t="shared" si="50"/>
        <v>179.44583522950637</v>
      </c>
      <c r="AE125" s="335">
        <f t="shared" si="60"/>
        <v>47.72935115550874</v>
      </c>
      <c r="AF125" s="360">
        <f t="shared" si="51"/>
        <v>21485.770876385257</v>
      </c>
      <c r="AH125" s="359">
        <f t="shared" si="52"/>
        <v>44712</v>
      </c>
      <c r="AI125" s="334">
        <f t="shared" si="53"/>
        <v>113</v>
      </c>
      <c r="AJ125" s="335">
        <f t="shared" si="54"/>
        <v>227.1751863850151</v>
      </c>
      <c r="AK125" s="335"/>
      <c r="AL125" s="335">
        <f t="shared" si="55"/>
        <v>179.44583522950637</v>
      </c>
      <c r="AM125" s="335">
        <f t="shared" si="61"/>
        <v>47.72935115550874</v>
      </c>
      <c r="AN125" s="360">
        <f t="shared" si="56"/>
        <v>21485.770876385257</v>
      </c>
    </row>
    <row r="126" spans="1:40" ht="12.75">
      <c r="A126" s="359">
        <f t="shared" si="31"/>
        <v>44742</v>
      </c>
      <c r="B126" s="334">
        <f t="shared" si="32"/>
        <v>114</v>
      </c>
      <c r="C126" s="335">
        <f t="shared" si="33"/>
        <v>227.1751863850151</v>
      </c>
      <c r="D126" s="335"/>
      <c r="E126" s="335">
        <f t="shared" si="34"/>
        <v>179.0480906365438</v>
      </c>
      <c r="F126" s="335">
        <f t="shared" si="57"/>
        <v>48.127095748471305</v>
      </c>
      <c r="G126" s="360">
        <f t="shared" si="35"/>
        <v>21437.643780636787</v>
      </c>
      <c r="H126" s="336" t="e">
        <f t="shared" si="36"/>
        <v>#VALUE!</v>
      </c>
      <c r="I126" s="333"/>
      <c r="J126" s="359">
        <f t="shared" si="37"/>
        <v>44742</v>
      </c>
      <c r="K126" s="334">
        <f t="shared" si="38"/>
        <v>114</v>
      </c>
      <c r="L126" s="335">
        <f t="shared" si="39"/>
        <v>227.1751863850151</v>
      </c>
      <c r="M126" s="335"/>
      <c r="N126" s="335">
        <f t="shared" si="40"/>
        <v>179.0480906365438</v>
      </c>
      <c r="O126" s="335">
        <f t="shared" si="58"/>
        <v>48.127095748471305</v>
      </c>
      <c r="P126" s="360">
        <f t="shared" si="41"/>
        <v>21437.643780636787</v>
      </c>
      <c r="R126" s="359">
        <f t="shared" si="42"/>
        <v>44742</v>
      </c>
      <c r="S126" s="334">
        <f t="shared" si="43"/>
        <v>114</v>
      </c>
      <c r="T126" s="335">
        <f t="shared" si="44"/>
        <v>227.1751863850151</v>
      </c>
      <c r="U126" s="335"/>
      <c r="V126" s="335">
        <f t="shared" si="45"/>
        <v>179.0480906365438</v>
      </c>
      <c r="W126" s="335">
        <f t="shared" si="59"/>
        <v>48.127095748471305</v>
      </c>
      <c r="X126" s="360">
        <f t="shared" si="46"/>
        <v>21437.643780636787</v>
      </c>
      <c r="Z126" s="359">
        <f t="shared" si="47"/>
        <v>44742</v>
      </c>
      <c r="AA126" s="334">
        <f t="shared" si="48"/>
        <v>114</v>
      </c>
      <c r="AB126" s="335">
        <f t="shared" si="49"/>
        <v>227.1751863850151</v>
      </c>
      <c r="AC126" s="335"/>
      <c r="AD126" s="335">
        <f t="shared" si="50"/>
        <v>179.0480906365438</v>
      </c>
      <c r="AE126" s="335">
        <f t="shared" si="60"/>
        <v>48.127095748471305</v>
      </c>
      <c r="AF126" s="360">
        <f t="shared" si="51"/>
        <v>21437.643780636787</v>
      </c>
      <c r="AH126" s="359">
        <f t="shared" si="52"/>
        <v>44742</v>
      </c>
      <c r="AI126" s="334">
        <f t="shared" si="53"/>
        <v>114</v>
      </c>
      <c r="AJ126" s="335">
        <f t="shared" si="54"/>
        <v>227.1751863850151</v>
      </c>
      <c r="AK126" s="335"/>
      <c r="AL126" s="335">
        <f t="shared" si="55"/>
        <v>179.0480906365438</v>
      </c>
      <c r="AM126" s="335">
        <f t="shared" si="61"/>
        <v>48.127095748471305</v>
      </c>
      <c r="AN126" s="360">
        <f t="shared" si="56"/>
        <v>21437.643780636787</v>
      </c>
    </row>
    <row r="127" spans="1:40" ht="12.75">
      <c r="A127" s="359">
        <f t="shared" si="31"/>
        <v>44773</v>
      </c>
      <c r="B127" s="334">
        <f t="shared" si="32"/>
        <v>115</v>
      </c>
      <c r="C127" s="335">
        <f t="shared" si="33"/>
        <v>227.1751863850151</v>
      </c>
      <c r="D127" s="335"/>
      <c r="E127" s="335">
        <f t="shared" si="34"/>
        <v>178.64703150530656</v>
      </c>
      <c r="F127" s="335">
        <f t="shared" si="57"/>
        <v>48.52815487970855</v>
      </c>
      <c r="G127" s="360">
        <f t="shared" si="35"/>
        <v>21389.115625757076</v>
      </c>
      <c r="H127" s="336" t="e">
        <f t="shared" si="36"/>
        <v>#VALUE!</v>
      </c>
      <c r="I127" s="333"/>
      <c r="J127" s="359">
        <f t="shared" si="37"/>
        <v>44773</v>
      </c>
      <c r="K127" s="334">
        <f t="shared" si="38"/>
        <v>115</v>
      </c>
      <c r="L127" s="335">
        <f t="shared" si="39"/>
        <v>227.1751863850151</v>
      </c>
      <c r="M127" s="335"/>
      <c r="N127" s="335">
        <f t="shared" si="40"/>
        <v>178.64703150530656</v>
      </c>
      <c r="O127" s="335">
        <f t="shared" si="58"/>
        <v>48.52815487970855</v>
      </c>
      <c r="P127" s="360">
        <f t="shared" si="41"/>
        <v>21389.115625757076</v>
      </c>
      <c r="R127" s="359">
        <f t="shared" si="42"/>
        <v>44773</v>
      </c>
      <c r="S127" s="334">
        <f t="shared" si="43"/>
        <v>115</v>
      </c>
      <c r="T127" s="335">
        <f t="shared" si="44"/>
        <v>227.1751863850151</v>
      </c>
      <c r="U127" s="335"/>
      <c r="V127" s="335">
        <f t="shared" si="45"/>
        <v>178.64703150530656</v>
      </c>
      <c r="W127" s="335">
        <f t="shared" si="59"/>
        <v>48.52815487970855</v>
      </c>
      <c r="X127" s="360">
        <f t="shared" si="46"/>
        <v>21389.115625757076</v>
      </c>
      <c r="Z127" s="359">
        <f t="shared" si="47"/>
        <v>44773</v>
      </c>
      <c r="AA127" s="334">
        <f t="shared" si="48"/>
        <v>115</v>
      </c>
      <c r="AB127" s="335">
        <f t="shared" si="49"/>
        <v>227.1751863850151</v>
      </c>
      <c r="AC127" s="335"/>
      <c r="AD127" s="335">
        <f t="shared" si="50"/>
        <v>178.64703150530656</v>
      </c>
      <c r="AE127" s="335">
        <f t="shared" si="60"/>
        <v>48.52815487970855</v>
      </c>
      <c r="AF127" s="360">
        <f t="shared" si="51"/>
        <v>21389.115625757076</v>
      </c>
      <c r="AH127" s="359">
        <f t="shared" si="52"/>
        <v>44773</v>
      </c>
      <c r="AI127" s="334">
        <f t="shared" si="53"/>
        <v>115</v>
      </c>
      <c r="AJ127" s="335">
        <f t="shared" si="54"/>
        <v>227.1751863850151</v>
      </c>
      <c r="AK127" s="335"/>
      <c r="AL127" s="335">
        <f t="shared" si="55"/>
        <v>178.64703150530656</v>
      </c>
      <c r="AM127" s="335">
        <f t="shared" si="61"/>
        <v>48.52815487970855</v>
      </c>
      <c r="AN127" s="360">
        <f t="shared" si="56"/>
        <v>21389.115625757076</v>
      </c>
    </row>
    <row r="128" spans="1:40" ht="12.75">
      <c r="A128" s="359">
        <f t="shared" si="31"/>
        <v>44804</v>
      </c>
      <c r="B128" s="334">
        <f t="shared" si="32"/>
        <v>116</v>
      </c>
      <c r="C128" s="335">
        <f t="shared" si="33"/>
        <v>227.1751863850151</v>
      </c>
      <c r="D128" s="335"/>
      <c r="E128" s="335">
        <f t="shared" si="34"/>
        <v>178.2426302146423</v>
      </c>
      <c r="F128" s="335">
        <f t="shared" si="57"/>
        <v>48.932556170372806</v>
      </c>
      <c r="G128" s="360">
        <f t="shared" si="35"/>
        <v>21340.183069586703</v>
      </c>
      <c r="H128" s="336" t="e">
        <f t="shared" si="36"/>
        <v>#VALUE!</v>
      </c>
      <c r="I128" s="333"/>
      <c r="J128" s="359">
        <f t="shared" si="37"/>
        <v>44804</v>
      </c>
      <c r="K128" s="334">
        <f t="shared" si="38"/>
        <v>116</v>
      </c>
      <c r="L128" s="335">
        <f t="shared" si="39"/>
        <v>227.1751863850151</v>
      </c>
      <c r="M128" s="335"/>
      <c r="N128" s="335">
        <f t="shared" si="40"/>
        <v>178.2426302146423</v>
      </c>
      <c r="O128" s="335">
        <f t="shared" si="58"/>
        <v>48.932556170372806</v>
      </c>
      <c r="P128" s="360">
        <f t="shared" si="41"/>
        <v>21340.183069586703</v>
      </c>
      <c r="R128" s="359">
        <f t="shared" si="42"/>
        <v>44804</v>
      </c>
      <c r="S128" s="334">
        <f t="shared" si="43"/>
        <v>116</v>
      </c>
      <c r="T128" s="335">
        <f t="shared" si="44"/>
        <v>227.1751863850151</v>
      </c>
      <c r="U128" s="335"/>
      <c r="V128" s="335">
        <f t="shared" si="45"/>
        <v>178.2426302146423</v>
      </c>
      <c r="W128" s="335">
        <f t="shared" si="59"/>
        <v>48.932556170372806</v>
      </c>
      <c r="X128" s="360">
        <f t="shared" si="46"/>
        <v>21340.183069586703</v>
      </c>
      <c r="Z128" s="359">
        <f t="shared" si="47"/>
        <v>44804</v>
      </c>
      <c r="AA128" s="334">
        <f t="shared" si="48"/>
        <v>116</v>
      </c>
      <c r="AB128" s="335">
        <f t="shared" si="49"/>
        <v>227.1751863850151</v>
      </c>
      <c r="AC128" s="335"/>
      <c r="AD128" s="335">
        <f t="shared" si="50"/>
        <v>178.2426302146423</v>
      </c>
      <c r="AE128" s="335">
        <f t="shared" si="60"/>
        <v>48.932556170372806</v>
      </c>
      <c r="AF128" s="360">
        <f t="shared" si="51"/>
        <v>21340.183069586703</v>
      </c>
      <c r="AH128" s="359">
        <f t="shared" si="52"/>
        <v>44804</v>
      </c>
      <c r="AI128" s="334">
        <f t="shared" si="53"/>
        <v>116</v>
      </c>
      <c r="AJ128" s="335">
        <f t="shared" si="54"/>
        <v>227.1751863850151</v>
      </c>
      <c r="AK128" s="335"/>
      <c r="AL128" s="335">
        <f t="shared" si="55"/>
        <v>178.2426302146423</v>
      </c>
      <c r="AM128" s="335">
        <f t="shared" si="61"/>
        <v>48.932556170372806</v>
      </c>
      <c r="AN128" s="360">
        <f t="shared" si="56"/>
        <v>21340.183069586703</v>
      </c>
    </row>
    <row r="129" spans="1:40" ht="12.75">
      <c r="A129" s="359">
        <f t="shared" si="31"/>
        <v>44834</v>
      </c>
      <c r="B129" s="334">
        <f t="shared" si="32"/>
        <v>117</v>
      </c>
      <c r="C129" s="335">
        <f t="shared" si="33"/>
        <v>227.1751863850151</v>
      </c>
      <c r="D129" s="335"/>
      <c r="E129" s="335">
        <f t="shared" si="34"/>
        <v>177.83485891322252</v>
      </c>
      <c r="F129" s="335">
        <f t="shared" si="57"/>
        <v>49.34032747179259</v>
      </c>
      <c r="G129" s="360">
        <f t="shared" si="35"/>
        <v>21290.84274211491</v>
      </c>
      <c r="H129" s="336" t="e">
        <f t="shared" si="36"/>
        <v>#VALUE!</v>
      </c>
      <c r="I129" s="333"/>
      <c r="J129" s="359">
        <f t="shared" si="37"/>
        <v>44834</v>
      </c>
      <c r="K129" s="334">
        <f t="shared" si="38"/>
        <v>117</v>
      </c>
      <c r="L129" s="335">
        <f t="shared" si="39"/>
        <v>227.1751863850151</v>
      </c>
      <c r="M129" s="335"/>
      <c r="N129" s="335">
        <f t="shared" si="40"/>
        <v>177.83485891322252</v>
      </c>
      <c r="O129" s="335">
        <f t="shared" si="58"/>
        <v>49.34032747179259</v>
      </c>
      <c r="P129" s="360">
        <f t="shared" si="41"/>
        <v>21290.84274211491</v>
      </c>
      <c r="R129" s="359">
        <f t="shared" si="42"/>
        <v>44834</v>
      </c>
      <c r="S129" s="334">
        <f t="shared" si="43"/>
        <v>117</v>
      </c>
      <c r="T129" s="335">
        <f t="shared" si="44"/>
        <v>227.1751863850151</v>
      </c>
      <c r="U129" s="335"/>
      <c r="V129" s="335">
        <f t="shared" si="45"/>
        <v>177.83485891322252</v>
      </c>
      <c r="W129" s="335">
        <f t="shared" si="59"/>
        <v>49.34032747179259</v>
      </c>
      <c r="X129" s="360">
        <f t="shared" si="46"/>
        <v>21290.84274211491</v>
      </c>
      <c r="Z129" s="359">
        <f t="shared" si="47"/>
        <v>44834</v>
      </c>
      <c r="AA129" s="334">
        <f t="shared" si="48"/>
        <v>117</v>
      </c>
      <c r="AB129" s="335">
        <f t="shared" si="49"/>
        <v>227.1751863850151</v>
      </c>
      <c r="AC129" s="335"/>
      <c r="AD129" s="335">
        <f t="shared" si="50"/>
        <v>177.83485891322252</v>
      </c>
      <c r="AE129" s="335">
        <f t="shared" si="60"/>
        <v>49.34032747179259</v>
      </c>
      <c r="AF129" s="360">
        <f t="shared" si="51"/>
        <v>21290.84274211491</v>
      </c>
      <c r="AH129" s="359">
        <f t="shared" si="52"/>
        <v>44834</v>
      </c>
      <c r="AI129" s="334">
        <f t="shared" si="53"/>
        <v>117</v>
      </c>
      <c r="AJ129" s="335">
        <f t="shared" si="54"/>
        <v>227.1751863850151</v>
      </c>
      <c r="AK129" s="335"/>
      <c r="AL129" s="335">
        <f t="shared" si="55"/>
        <v>177.83485891322252</v>
      </c>
      <c r="AM129" s="335">
        <f t="shared" si="61"/>
        <v>49.34032747179259</v>
      </c>
      <c r="AN129" s="360">
        <f t="shared" si="56"/>
        <v>21290.84274211491</v>
      </c>
    </row>
    <row r="130" spans="1:40" ht="12.75">
      <c r="A130" s="359">
        <f t="shared" si="31"/>
        <v>44865</v>
      </c>
      <c r="B130" s="334">
        <f t="shared" si="32"/>
        <v>118</v>
      </c>
      <c r="C130" s="335">
        <f t="shared" si="33"/>
        <v>227.1751863850151</v>
      </c>
      <c r="D130" s="335"/>
      <c r="E130" s="335">
        <f t="shared" si="34"/>
        <v>177.42368951762424</v>
      </c>
      <c r="F130" s="335">
        <f t="shared" si="57"/>
        <v>49.75149686739087</v>
      </c>
      <c r="G130" s="360">
        <f t="shared" si="35"/>
        <v>21241.09124524752</v>
      </c>
      <c r="H130" s="336" t="e">
        <f t="shared" si="36"/>
        <v>#VALUE!</v>
      </c>
      <c r="I130" s="333"/>
      <c r="J130" s="359">
        <f t="shared" si="37"/>
        <v>44865</v>
      </c>
      <c r="K130" s="334">
        <f t="shared" si="38"/>
        <v>118</v>
      </c>
      <c r="L130" s="335">
        <f t="shared" si="39"/>
        <v>227.1751863850151</v>
      </c>
      <c r="M130" s="335"/>
      <c r="N130" s="335">
        <f t="shared" si="40"/>
        <v>177.42368951762424</v>
      </c>
      <c r="O130" s="335">
        <f t="shared" si="58"/>
        <v>49.75149686739087</v>
      </c>
      <c r="P130" s="360">
        <f t="shared" si="41"/>
        <v>21241.09124524752</v>
      </c>
      <c r="R130" s="359">
        <f t="shared" si="42"/>
        <v>44865</v>
      </c>
      <c r="S130" s="334">
        <f t="shared" si="43"/>
        <v>118</v>
      </c>
      <c r="T130" s="335">
        <f t="shared" si="44"/>
        <v>227.1751863850151</v>
      </c>
      <c r="U130" s="335"/>
      <c r="V130" s="335">
        <f t="shared" si="45"/>
        <v>177.42368951762424</v>
      </c>
      <c r="W130" s="335">
        <f t="shared" si="59"/>
        <v>49.75149686739087</v>
      </c>
      <c r="X130" s="360">
        <f t="shared" si="46"/>
        <v>21241.09124524752</v>
      </c>
      <c r="Z130" s="359">
        <f t="shared" si="47"/>
        <v>44865</v>
      </c>
      <c r="AA130" s="334">
        <f t="shared" si="48"/>
        <v>118</v>
      </c>
      <c r="AB130" s="335">
        <f t="shared" si="49"/>
        <v>227.1751863850151</v>
      </c>
      <c r="AC130" s="335"/>
      <c r="AD130" s="335">
        <f t="shared" si="50"/>
        <v>177.42368951762424</v>
      </c>
      <c r="AE130" s="335">
        <f t="shared" si="60"/>
        <v>49.75149686739087</v>
      </c>
      <c r="AF130" s="360">
        <f t="shared" si="51"/>
        <v>21241.09124524752</v>
      </c>
      <c r="AH130" s="359">
        <f t="shared" si="52"/>
        <v>44865</v>
      </c>
      <c r="AI130" s="334">
        <f t="shared" si="53"/>
        <v>118</v>
      </c>
      <c r="AJ130" s="335">
        <f t="shared" si="54"/>
        <v>227.1751863850151</v>
      </c>
      <c r="AK130" s="335"/>
      <c r="AL130" s="335">
        <f t="shared" si="55"/>
        <v>177.42368951762424</v>
      </c>
      <c r="AM130" s="335">
        <f t="shared" si="61"/>
        <v>49.75149686739087</v>
      </c>
      <c r="AN130" s="360">
        <f t="shared" si="56"/>
        <v>21241.09124524752</v>
      </c>
    </row>
    <row r="131" spans="1:40" ht="12.75">
      <c r="A131" s="359">
        <f t="shared" si="31"/>
        <v>44895</v>
      </c>
      <c r="B131" s="334">
        <f t="shared" si="32"/>
        <v>119</v>
      </c>
      <c r="C131" s="335">
        <f t="shared" si="33"/>
        <v>227.1751863850151</v>
      </c>
      <c r="D131" s="335"/>
      <c r="E131" s="335">
        <f t="shared" si="34"/>
        <v>177.009093710396</v>
      </c>
      <c r="F131" s="335">
        <f t="shared" si="57"/>
        <v>50.16609267461911</v>
      </c>
      <c r="G131" s="360">
        <f t="shared" si="35"/>
        <v>21190.9251525729</v>
      </c>
      <c r="H131" s="336" t="e">
        <f t="shared" si="36"/>
        <v>#VALUE!</v>
      </c>
      <c r="I131" s="333"/>
      <c r="J131" s="359">
        <f t="shared" si="37"/>
        <v>44895</v>
      </c>
      <c r="K131" s="334">
        <f t="shared" si="38"/>
        <v>119</v>
      </c>
      <c r="L131" s="335">
        <f t="shared" si="39"/>
        <v>227.1751863850151</v>
      </c>
      <c r="M131" s="335"/>
      <c r="N131" s="335">
        <f t="shared" si="40"/>
        <v>177.009093710396</v>
      </c>
      <c r="O131" s="335">
        <f t="shared" si="58"/>
        <v>50.16609267461911</v>
      </c>
      <c r="P131" s="360">
        <f t="shared" si="41"/>
        <v>21190.9251525729</v>
      </c>
      <c r="R131" s="359">
        <f t="shared" si="42"/>
        <v>44895</v>
      </c>
      <c r="S131" s="334">
        <f t="shared" si="43"/>
        <v>119</v>
      </c>
      <c r="T131" s="335">
        <f t="shared" si="44"/>
        <v>227.1751863850151</v>
      </c>
      <c r="U131" s="335"/>
      <c r="V131" s="335">
        <f t="shared" si="45"/>
        <v>177.009093710396</v>
      </c>
      <c r="W131" s="335">
        <f t="shared" si="59"/>
        <v>50.16609267461911</v>
      </c>
      <c r="X131" s="360">
        <f t="shared" si="46"/>
        <v>21190.9251525729</v>
      </c>
      <c r="Z131" s="359">
        <f t="shared" si="47"/>
        <v>44895</v>
      </c>
      <c r="AA131" s="334">
        <f t="shared" si="48"/>
        <v>119</v>
      </c>
      <c r="AB131" s="335">
        <f t="shared" si="49"/>
        <v>227.1751863850151</v>
      </c>
      <c r="AC131" s="335"/>
      <c r="AD131" s="335">
        <f t="shared" si="50"/>
        <v>177.009093710396</v>
      </c>
      <c r="AE131" s="335">
        <f t="shared" si="60"/>
        <v>50.16609267461911</v>
      </c>
      <c r="AF131" s="360">
        <f t="shared" si="51"/>
        <v>21190.9251525729</v>
      </c>
      <c r="AH131" s="359">
        <f t="shared" si="52"/>
        <v>44895</v>
      </c>
      <c r="AI131" s="334">
        <f t="shared" si="53"/>
        <v>119</v>
      </c>
      <c r="AJ131" s="335">
        <f t="shared" si="54"/>
        <v>227.1751863850151</v>
      </c>
      <c r="AK131" s="335"/>
      <c r="AL131" s="335">
        <f t="shared" si="55"/>
        <v>177.009093710396</v>
      </c>
      <c r="AM131" s="335">
        <f t="shared" si="61"/>
        <v>50.16609267461911</v>
      </c>
      <c r="AN131" s="360">
        <f t="shared" si="56"/>
        <v>21190.9251525729</v>
      </c>
    </row>
    <row r="132" spans="1:40" ht="12.75">
      <c r="A132" s="359">
        <f t="shared" si="31"/>
        <v>44926</v>
      </c>
      <c r="B132" s="334">
        <f t="shared" si="32"/>
        <v>120</v>
      </c>
      <c r="C132" s="335">
        <f t="shared" si="33"/>
        <v>227.1751863850151</v>
      </c>
      <c r="D132" s="335"/>
      <c r="E132" s="335">
        <f t="shared" si="34"/>
        <v>176.5910429381075</v>
      </c>
      <c r="F132" s="335">
        <f t="shared" si="57"/>
        <v>50.5841434469076</v>
      </c>
      <c r="G132" s="360">
        <f t="shared" si="35"/>
        <v>21140.341009125994</v>
      </c>
      <c r="H132" s="336" t="e">
        <f t="shared" si="36"/>
        <v>#VALUE!</v>
      </c>
      <c r="I132" s="333"/>
      <c r="J132" s="359">
        <f t="shared" si="37"/>
        <v>44926</v>
      </c>
      <c r="K132" s="334">
        <f t="shared" si="38"/>
        <v>120</v>
      </c>
      <c r="L132" s="335">
        <f t="shared" si="39"/>
        <v>227.1751863850151</v>
      </c>
      <c r="M132" s="335"/>
      <c r="N132" s="335">
        <f t="shared" si="40"/>
        <v>176.5910429381075</v>
      </c>
      <c r="O132" s="335">
        <f t="shared" si="58"/>
        <v>50.5841434469076</v>
      </c>
      <c r="P132" s="360">
        <f t="shared" si="41"/>
        <v>21140.341009125994</v>
      </c>
      <c r="R132" s="359">
        <f t="shared" si="42"/>
        <v>44926</v>
      </c>
      <c r="S132" s="334">
        <f t="shared" si="43"/>
        <v>120</v>
      </c>
      <c r="T132" s="335">
        <f t="shared" si="44"/>
        <v>227.1751863850151</v>
      </c>
      <c r="U132" s="335"/>
      <c r="V132" s="335">
        <f t="shared" si="45"/>
        <v>176.5910429381075</v>
      </c>
      <c r="W132" s="335">
        <f t="shared" si="59"/>
        <v>50.5841434469076</v>
      </c>
      <c r="X132" s="360">
        <f t="shared" si="46"/>
        <v>21140.341009125994</v>
      </c>
      <c r="Z132" s="359">
        <f t="shared" si="47"/>
        <v>44926</v>
      </c>
      <c r="AA132" s="334">
        <f t="shared" si="48"/>
        <v>120</v>
      </c>
      <c r="AB132" s="335">
        <f t="shared" si="49"/>
        <v>227.1751863850151</v>
      </c>
      <c r="AC132" s="335"/>
      <c r="AD132" s="335">
        <f t="shared" si="50"/>
        <v>176.5910429381075</v>
      </c>
      <c r="AE132" s="335">
        <f t="shared" si="60"/>
        <v>50.5841434469076</v>
      </c>
      <c r="AF132" s="360">
        <f t="shared" si="51"/>
        <v>21140.341009125994</v>
      </c>
      <c r="AH132" s="359">
        <f t="shared" si="52"/>
        <v>44926</v>
      </c>
      <c r="AI132" s="334">
        <f t="shared" si="53"/>
        <v>120</v>
      </c>
      <c r="AJ132" s="335">
        <f t="shared" si="54"/>
        <v>227.1751863850151</v>
      </c>
      <c r="AK132" s="335"/>
      <c r="AL132" s="335">
        <f t="shared" si="55"/>
        <v>176.5910429381075</v>
      </c>
      <c r="AM132" s="335">
        <f t="shared" si="61"/>
        <v>50.5841434469076</v>
      </c>
      <c r="AN132" s="360">
        <f t="shared" si="56"/>
        <v>21140.341009125994</v>
      </c>
    </row>
    <row r="133" spans="1:40" ht="12.75">
      <c r="A133" s="359">
        <f t="shared" si="31"/>
        <v>44957</v>
      </c>
      <c r="B133" s="334">
        <f t="shared" si="32"/>
        <v>121</v>
      </c>
      <c r="C133" s="335">
        <f t="shared" si="33"/>
        <v>227.1751863850151</v>
      </c>
      <c r="D133" s="335"/>
      <c r="E133" s="335">
        <f t="shared" si="34"/>
        <v>176.16950840938327</v>
      </c>
      <c r="F133" s="335">
        <f t="shared" si="57"/>
        <v>51.00567797563184</v>
      </c>
      <c r="G133" s="360">
        <f t="shared" si="35"/>
        <v>21089.335331150363</v>
      </c>
      <c r="H133" s="336" t="e">
        <f t="shared" si="36"/>
        <v>#VALUE!</v>
      </c>
      <c r="I133" s="333"/>
      <c r="J133" s="359">
        <f t="shared" si="37"/>
        <v>44957</v>
      </c>
      <c r="K133" s="334">
        <f t="shared" si="38"/>
        <v>121</v>
      </c>
      <c r="L133" s="335">
        <f t="shared" si="39"/>
        <v>227.1751863850151</v>
      </c>
      <c r="M133" s="335"/>
      <c r="N133" s="335">
        <f t="shared" si="40"/>
        <v>176.16950840938327</v>
      </c>
      <c r="O133" s="335">
        <f t="shared" si="58"/>
        <v>51.00567797563184</v>
      </c>
      <c r="P133" s="360">
        <f t="shared" si="41"/>
        <v>21089.335331150363</v>
      </c>
      <c r="R133" s="359">
        <f t="shared" si="42"/>
        <v>44957</v>
      </c>
      <c r="S133" s="334">
        <f t="shared" si="43"/>
        <v>121</v>
      </c>
      <c r="T133" s="335">
        <f t="shared" si="44"/>
        <v>227.1751863850151</v>
      </c>
      <c r="U133" s="335"/>
      <c r="V133" s="335">
        <f t="shared" si="45"/>
        <v>176.16950840938327</v>
      </c>
      <c r="W133" s="335">
        <f t="shared" si="59"/>
        <v>51.00567797563184</v>
      </c>
      <c r="X133" s="360">
        <f t="shared" si="46"/>
        <v>21089.335331150363</v>
      </c>
      <c r="Z133" s="359">
        <f t="shared" si="47"/>
        <v>44957</v>
      </c>
      <c r="AA133" s="334">
        <f t="shared" si="48"/>
        <v>121</v>
      </c>
      <c r="AB133" s="335">
        <f t="shared" si="49"/>
        <v>227.1751863850151</v>
      </c>
      <c r="AC133" s="335"/>
      <c r="AD133" s="335">
        <f t="shared" si="50"/>
        <v>176.16950840938327</v>
      </c>
      <c r="AE133" s="335">
        <f t="shared" si="60"/>
        <v>51.00567797563184</v>
      </c>
      <c r="AF133" s="360">
        <f t="shared" si="51"/>
        <v>21089.335331150363</v>
      </c>
      <c r="AH133" s="359">
        <f t="shared" si="52"/>
        <v>44957</v>
      </c>
      <c r="AI133" s="334">
        <f t="shared" si="53"/>
        <v>121</v>
      </c>
      <c r="AJ133" s="335">
        <f t="shared" si="54"/>
        <v>227.1751863850151</v>
      </c>
      <c r="AK133" s="335"/>
      <c r="AL133" s="335">
        <f t="shared" si="55"/>
        <v>176.16950840938327</v>
      </c>
      <c r="AM133" s="335">
        <f t="shared" si="61"/>
        <v>51.00567797563184</v>
      </c>
      <c r="AN133" s="360">
        <f t="shared" si="56"/>
        <v>21089.335331150363</v>
      </c>
    </row>
    <row r="134" spans="1:40" ht="12.75">
      <c r="A134" s="359">
        <f t="shared" si="31"/>
        <v>44985</v>
      </c>
      <c r="B134" s="334">
        <f t="shared" si="32"/>
        <v>122</v>
      </c>
      <c r="C134" s="335">
        <f t="shared" si="33"/>
        <v>227.1751863850151</v>
      </c>
      <c r="D134" s="335"/>
      <c r="E134" s="335">
        <f t="shared" si="34"/>
        <v>175.7444610929197</v>
      </c>
      <c r="F134" s="335">
        <f t="shared" si="57"/>
        <v>51.43072529209542</v>
      </c>
      <c r="G134" s="360">
        <f t="shared" si="35"/>
        <v>21037.904605858268</v>
      </c>
      <c r="H134" s="336" t="e">
        <f t="shared" si="36"/>
        <v>#VALUE!</v>
      </c>
      <c r="I134" s="333"/>
      <c r="J134" s="359">
        <f t="shared" si="37"/>
        <v>44985</v>
      </c>
      <c r="K134" s="334">
        <f t="shared" si="38"/>
        <v>122</v>
      </c>
      <c r="L134" s="335">
        <f t="shared" si="39"/>
        <v>227.1751863850151</v>
      </c>
      <c r="M134" s="335"/>
      <c r="N134" s="335">
        <f t="shared" si="40"/>
        <v>175.7444610929197</v>
      </c>
      <c r="O134" s="335">
        <f t="shared" si="58"/>
        <v>51.43072529209542</v>
      </c>
      <c r="P134" s="360">
        <f t="shared" si="41"/>
        <v>21037.904605858268</v>
      </c>
      <c r="R134" s="359">
        <f t="shared" si="42"/>
        <v>44985</v>
      </c>
      <c r="S134" s="334">
        <f t="shared" si="43"/>
        <v>122</v>
      </c>
      <c r="T134" s="335">
        <f t="shared" si="44"/>
        <v>227.1751863850151</v>
      </c>
      <c r="U134" s="335"/>
      <c r="V134" s="335">
        <f t="shared" si="45"/>
        <v>175.7444610929197</v>
      </c>
      <c r="W134" s="335">
        <f t="shared" si="59"/>
        <v>51.43072529209542</v>
      </c>
      <c r="X134" s="360">
        <f t="shared" si="46"/>
        <v>21037.904605858268</v>
      </c>
      <c r="Z134" s="359">
        <f t="shared" si="47"/>
        <v>44985</v>
      </c>
      <c r="AA134" s="334">
        <f t="shared" si="48"/>
        <v>122</v>
      </c>
      <c r="AB134" s="335">
        <f t="shared" si="49"/>
        <v>227.1751863850151</v>
      </c>
      <c r="AC134" s="335"/>
      <c r="AD134" s="335">
        <f t="shared" si="50"/>
        <v>175.7444610929197</v>
      </c>
      <c r="AE134" s="335">
        <f t="shared" si="60"/>
        <v>51.43072529209542</v>
      </c>
      <c r="AF134" s="360">
        <f t="shared" si="51"/>
        <v>21037.904605858268</v>
      </c>
      <c r="AH134" s="359">
        <f t="shared" si="52"/>
        <v>44985</v>
      </c>
      <c r="AI134" s="334">
        <f t="shared" si="53"/>
        <v>122</v>
      </c>
      <c r="AJ134" s="335">
        <f t="shared" si="54"/>
        <v>227.1751863850151</v>
      </c>
      <c r="AK134" s="335"/>
      <c r="AL134" s="335">
        <f t="shared" si="55"/>
        <v>175.7444610929197</v>
      </c>
      <c r="AM134" s="335">
        <f t="shared" si="61"/>
        <v>51.43072529209542</v>
      </c>
      <c r="AN134" s="360">
        <f t="shared" si="56"/>
        <v>21037.904605858268</v>
      </c>
    </row>
    <row r="135" spans="1:40" ht="12.75">
      <c r="A135" s="359">
        <f t="shared" si="31"/>
        <v>45016</v>
      </c>
      <c r="B135" s="334">
        <f t="shared" si="32"/>
        <v>123</v>
      </c>
      <c r="C135" s="335">
        <f t="shared" si="33"/>
        <v>227.1751863850151</v>
      </c>
      <c r="D135" s="335"/>
      <c r="E135" s="335">
        <f t="shared" si="34"/>
        <v>175.31587171548557</v>
      </c>
      <c r="F135" s="335">
        <f t="shared" si="57"/>
        <v>51.85931466952954</v>
      </c>
      <c r="G135" s="360">
        <f t="shared" si="35"/>
        <v>20986.045291188737</v>
      </c>
      <c r="H135" s="336" t="e">
        <f t="shared" si="36"/>
        <v>#VALUE!</v>
      </c>
      <c r="I135" s="333"/>
      <c r="J135" s="359">
        <f t="shared" si="37"/>
        <v>45016</v>
      </c>
      <c r="K135" s="334">
        <f t="shared" si="38"/>
        <v>123</v>
      </c>
      <c r="L135" s="335">
        <f t="shared" si="39"/>
        <v>227.1751863850151</v>
      </c>
      <c r="M135" s="335"/>
      <c r="N135" s="335">
        <f t="shared" si="40"/>
        <v>175.31587171548557</v>
      </c>
      <c r="O135" s="335">
        <f t="shared" si="58"/>
        <v>51.85931466952954</v>
      </c>
      <c r="P135" s="360">
        <f t="shared" si="41"/>
        <v>20986.045291188737</v>
      </c>
      <c r="R135" s="359">
        <f t="shared" si="42"/>
        <v>45016</v>
      </c>
      <c r="S135" s="334">
        <f t="shared" si="43"/>
        <v>123</v>
      </c>
      <c r="T135" s="335">
        <f t="shared" si="44"/>
        <v>227.1751863850151</v>
      </c>
      <c r="U135" s="335"/>
      <c r="V135" s="335">
        <f t="shared" si="45"/>
        <v>175.31587171548557</v>
      </c>
      <c r="W135" s="335">
        <f t="shared" si="59"/>
        <v>51.85931466952954</v>
      </c>
      <c r="X135" s="360">
        <f t="shared" si="46"/>
        <v>20986.045291188737</v>
      </c>
      <c r="Z135" s="359">
        <f t="shared" si="47"/>
        <v>45016</v>
      </c>
      <c r="AA135" s="334">
        <f t="shared" si="48"/>
        <v>123</v>
      </c>
      <c r="AB135" s="335">
        <f t="shared" si="49"/>
        <v>227.1751863850151</v>
      </c>
      <c r="AC135" s="335"/>
      <c r="AD135" s="335">
        <f t="shared" si="50"/>
        <v>175.31587171548557</v>
      </c>
      <c r="AE135" s="335">
        <f t="shared" si="60"/>
        <v>51.85931466952954</v>
      </c>
      <c r="AF135" s="360">
        <f t="shared" si="51"/>
        <v>20986.045291188737</v>
      </c>
      <c r="AH135" s="359">
        <f t="shared" si="52"/>
        <v>45016</v>
      </c>
      <c r="AI135" s="334">
        <f t="shared" si="53"/>
        <v>123</v>
      </c>
      <c r="AJ135" s="335">
        <f t="shared" si="54"/>
        <v>227.1751863850151</v>
      </c>
      <c r="AK135" s="335"/>
      <c r="AL135" s="335">
        <f t="shared" si="55"/>
        <v>175.31587171548557</v>
      </c>
      <c r="AM135" s="335">
        <f t="shared" si="61"/>
        <v>51.85931466952954</v>
      </c>
      <c r="AN135" s="360">
        <f t="shared" si="56"/>
        <v>20986.045291188737</v>
      </c>
    </row>
    <row r="136" spans="1:40" ht="12.75">
      <c r="A136" s="359">
        <f t="shared" si="31"/>
        <v>45046</v>
      </c>
      <c r="B136" s="334">
        <f t="shared" si="32"/>
        <v>124</v>
      </c>
      <c r="C136" s="335">
        <f t="shared" si="33"/>
        <v>227.1751863850151</v>
      </c>
      <c r="D136" s="335"/>
      <c r="E136" s="335">
        <f t="shared" si="34"/>
        <v>174.88371075990614</v>
      </c>
      <c r="F136" s="335">
        <f t="shared" si="57"/>
        <v>52.29147562510897</v>
      </c>
      <c r="G136" s="360">
        <f t="shared" si="35"/>
        <v>20933.75381556363</v>
      </c>
      <c r="H136" s="336" t="e">
        <f t="shared" si="36"/>
        <v>#VALUE!</v>
      </c>
      <c r="I136" s="333"/>
      <c r="J136" s="359">
        <f t="shared" si="37"/>
        <v>45046</v>
      </c>
      <c r="K136" s="334">
        <f t="shared" si="38"/>
        <v>124</v>
      </c>
      <c r="L136" s="335">
        <f t="shared" si="39"/>
        <v>227.1751863850151</v>
      </c>
      <c r="M136" s="335"/>
      <c r="N136" s="335">
        <f t="shared" si="40"/>
        <v>174.88371075990614</v>
      </c>
      <c r="O136" s="335">
        <f t="shared" si="58"/>
        <v>52.29147562510897</v>
      </c>
      <c r="P136" s="360">
        <f t="shared" si="41"/>
        <v>20933.75381556363</v>
      </c>
      <c r="R136" s="359">
        <f t="shared" si="42"/>
        <v>45046</v>
      </c>
      <c r="S136" s="334">
        <f t="shared" si="43"/>
        <v>124</v>
      </c>
      <c r="T136" s="335">
        <f t="shared" si="44"/>
        <v>227.1751863850151</v>
      </c>
      <c r="U136" s="335"/>
      <c r="V136" s="335">
        <f t="shared" si="45"/>
        <v>174.88371075990614</v>
      </c>
      <c r="W136" s="335">
        <f t="shared" si="59"/>
        <v>52.29147562510897</v>
      </c>
      <c r="X136" s="360">
        <f t="shared" si="46"/>
        <v>20933.75381556363</v>
      </c>
      <c r="Z136" s="359">
        <f t="shared" si="47"/>
        <v>45046</v>
      </c>
      <c r="AA136" s="334">
        <f t="shared" si="48"/>
        <v>124</v>
      </c>
      <c r="AB136" s="335">
        <f t="shared" si="49"/>
        <v>227.1751863850151</v>
      </c>
      <c r="AC136" s="335"/>
      <c r="AD136" s="335">
        <f t="shared" si="50"/>
        <v>174.88371075990614</v>
      </c>
      <c r="AE136" s="335">
        <f t="shared" si="60"/>
        <v>52.29147562510897</v>
      </c>
      <c r="AF136" s="360">
        <f t="shared" si="51"/>
        <v>20933.75381556363</v>
      </c>
      <c r="AH136" s="359">
        <f t="shared" si="52"/>
        <v>45046</v>
      </c>
      <c r="AI136" s="334">
        <f t="shared" si="53"/>
        <v>124</v>
      </c>
      <c r="AJ136" s="335">
        <f t="shared" si="54"/>
        <v>227.1751863850151</v>
      </c>
      <c r="AK136" s="335"/>
      <c r="AL136" s="335">
        <f t="shared" si="55"/>
        <v>174.88371075990614</v>
      </c>
      <c r="AM136" s="335">
        <f t="shared" si="61"/>
        <v>52.29147562510897</v>
      </c>
      <c r="AN136" s="360">
        <f t="shared" si="56"/>
        <v>20933.75381556363</v>
      </c>
    </row>
    <row r="137" spans="1:40" ht="12.75">
      <c r="A137" s="359">
        <f t="shared" si="31"/>
        <v>45077</v>
      </c>
      <c r="B137" s="334">
        <f t="shared" si="32"/>
        <v>125</v>
      </c>
      <c r="C137" s="335">
        <f t="shared" si="33"/>
        <v>227.1751863850151</v>
      </c>
      <c r="D137" s="335"/>
      <c r="E137" s="335">
        <f t="shared" si="34"/>
        <v>174.44794846303023</v>
      </c>
      <c r="F137" s="335">
        <f t="shared" si="57"/>
        <v>52.72723792198488</v>
      </c>
      <c r="G137" s="360">
        <f t="shared" si="35"/>
        <v>20881.02657764164</v>
      </c>
      <c r="H137" s="336" t="e">
        <f t="shared" si="36"/>
        <v>#VALUE!</v>
      </c>
      <c r="I137" s="333"/>
      <c r="J137" s="359">
        <f t="shared" si="37"/>
        <v>45077</v>
      </c>
      <c r="K137" s="334">
        <f t="shared" si="38"/>
        <v>125</v>
      </c>
      <c r="L137" s="335">
        <f t="shared" si="39"/>
        <v>227.1751863850151</v>
      </c>
      <c r="M137" s="335"/>
      <c r="N137" s="335">
        <f t="shared" si="40"/>
        <v>174.44794846303023</v>
      </c>
      <c r="O137" s="335">
        <f t="shared" si="58"/>
        <v>52.72723792198488</v>
      </c>
      <c r="P137" s="360">
        <f t="shared" si="41"/>
        <v>20881.02657764164</v>
      </c>
      <c r="R137" s="359">
        <f t="shared" si="42"/>
        <v>45077</v>
      </c>
      <c r="S137" s="334">
        <f t="shared" si="43"/>
        <v>125</v>
      </c>
      <c r="T137" s="335">
        <f t="shared" si="44"/>
        <v>227.1751863850151</v>
      </c>
      <c r="U137" s="335"/>
      <c r="V137" s="335">
        <f t="shared" si="45"/>
        <v>174.44794846303023</v>
      </c>
      <c r="W137" s="335">
        <f t="shared" si="59"/>
        <v>52.72723792198488</v>
      </c>
      <c r="X137" s="360">
        <f t="shared" si="46"/>
        <v>20881.02657764164</v>
      </c>
      <c r="Z137" s="359">
        <f t="shared" si="47"/>
        <v>45077</v>
      </c>
      <c r="AA137" s="334">
        <f t="shared" si="48"/>
        <v>125</v>
      </c>
      <c r="AB137" s="335">
        <f t="shared" si="49"/>
        <v>227.1751863850151</v>
      </c>
      <c r="AC137" s="335"/>
      <c r="AD137" s="335">
        <f t="shared" si="50"/>
        <v>174.44794846303023</v>
      </c>
      <c r="AE137" s="335">
        <f t="shared" si="60"/>
        <v>52.72723792198488</v>
      </c>
      <c r="AF137" s="360">
        <f t="shared" si="51"/>
        <v>20881.02657764164</v>
      </c>
      <c r="AH137" s="359">
        <f t="shared" si="52"/>
        <v>45077</v>
      </c>
      <c r="AI137" s="334">
        <f t="shared" si="53"/>
        <v>125</v>
      </c>
      <c r="AJ137" s="335">
        <f t="shared" si="54"/>
        <v>227.1751863850151</v>
      </c>
      <c r="AK137" s="335"/>
      <c r="AL137" s="335">
        <f t="shared" si="55"/>
        <v>174.44794846303023</v>
      </c>
      <c r="AM137" s="335">
        <f t="shared" si="61"/>
        <v>52.72723792198488</v>
      </c>
      <c r="AN137" s="360">
        <f t="shared" si="56"/>
        <v>20881.02657764164</v>
      </c>
    </row>
    <row r="138" spans="1:40" ht="12.75">
      <c r="A138" s="359">
        <f t="shared" si="31"/>
        <v>45107</v>
      </c>
      <c r="B138" s="334">
        <f t="shared" si="32"/>
        <v>126</v>
      </c>
      <c r="C138" s="335">
        <f t="shared" si="33"/>
        <v>227.1751863850151</v>
      </c>
      <c r="D138" s="335"/>
      <c r="E138" s="335">
        <f t="shared" si="34"/>
        <v>174.00855481368035</v>
      </c>
      <c r="F138" s="335">
        <f t="shared" si="57"/>
        <v>53.16663157133476</v>
      </c>
      <c r="G138" s="360">
        <f t="shared" si="35"/>
        <v>20827.859946070308</v>
      </c>
      <c r="H138" s="336" t="e">
        <f t="shared" si="36"/>
        <v>#VALUE!</v>
      </c>
      <c r="I138" s="333"/>
      <c r="J138" s="359">
        <f t="shared" si="37"/>
        <v>45107</v>
      </c>
      <c r="K138" s="334">
        <f t="shared" si="38"/>
        <v>126</v>
      </c>
      <c r="L138" s="335">
        <f t="shared" si="39"/>
        <v>227.1751863850151</v>
      </c>
      <c r="M138" s="335"/>
      <c r="N138" s="335">
        <f t="shared" si="40"/>
        <v>174.00855481368035</v>
      </c>
      <c r="O138" s="335">
        <f t="shared" si="58"/>
        <v>53.16663157133476</v>
      </c>
      <c r="P138" s="360">
        <f t="shared" si="41"/>
        <v>20827.859946070308</v>
      </c>
      <c r="R138" s="359">
        <f t="shared" si="42"/>
        <v>45107</v>
      </c>
      <c r="S138" s="334">
        <f t="shared" si="43"/>
        <v>126</v>
      </c>
      <c r="T138" s="335">
        <f t="shared" si="44"/>
        <v>227.1751863850151</v>
      </c>
      <c r="U138" s="335"/>
      <c r="V138" s="335">
        <f t="shared" si="45"/>
        <v>174.00855481368035</v>
      </c>
      <c r="W138" s="335">
        <f t="shared" si="59"/>
        <v>53.16663157133476</v>
      </c>
      <c r="X138" s="360">
        <f t="shared" si="46"/>
        <v>20827.859946070308</v>
      </c>
      <c r="Z138" s="359">
        <f t="shared" si="47"/>
        <v>45107</v>
      </c>
      <c r="AA138" s="334">
        <f t="shared" si="48"/>
        <v>126</v>
      </c>
      <c r="AB138" s="335">
        <f t="shared" si="49"/>
        <v>227.1751863850151</v>
      </c>
      <c r="AC138" s="335"/>
      <c r="AD138" s="335">
        <f t="shared" si="50"/>
        <v>174.00855481368035</v>
      </c>
      <c r="AE138" s="335">
        <f t="shared" si="60"/>
        <v>53.16663157133476</v>
      </c>
      <c r="AF138" s="360">
        <f t="shared" si="51"/>
        <v>20827.859946070308</v>
      </c>
      <c r="AH138" s="359">
        <f t="shared" si="52"/>
        <v>45107</v>
      </c>
      <c r="AI138" s="334">
        <f t="shared" si="53"/>
        <v>126</v>
      </c>
      <c r="AJ138" s="335">
        <f t="shared" si="54"/>
        <v>227.1751863850151</v>
      </c>
      <c r="AK138" s="335"/>
      <c r="AL138" s="335">
        <f t="shared" si="55"/>
        <v>174.00855481368035</v>
      </c>
      <c r="AM138" s="335">
        <f t="shared" si="61"/>
        <v>53.16663157133476</v>
      </c>
      <c r="AN138" s="360">
        <f t="shared" si="56"/>
        <v>20827.859946070308</v>
      </c>
    </row>
    <row r="139" spans="1:40" ht="12.75">
      <c r="A139" s="359">
        <f t="shared" si="31"/>
        <v>45138</v>
      </c>
      <c r="B139" s="334">
        <f t="shared" si="32"/>
        <v>127</v>
      </c>
      <c r="C139" s="335">
        <f t="shared" si="33"/>
        <v>227.1751863850151</v>
      </c>
      <c r="D139" s="335"/>
      <c r="E139" s="335">
        <f t="shared" si="34"/>
        <v>173.5654995505859</v>
      </c>
      <c r="F139" s="335">
        <f t="shared" si="57"/>
        <v>53.6096868344292</v>
      </c>
      <c r="G139" s="360">
        <f t="shared" si="35"/>
        <v>20774.25025923588</v>
      </c>
      <c r="H139" s="336" t="e">
        <f t="shared" si="36"/>
        <v>#VALUE!</v>
      </c>
      <c r="I139" s="333"/>
      <c r="J139" s="359">
        <f t="shared" si="37"/>
        <v>45138</v>
      </c>
      <c r="K139" s="334">
        <f t="shared" si="38"/>
        <v>127</v>
      </c>
      <c r="L139" s="335">
        <f t="shared" si="39"/>
        <v>227.1751863850151</v>
      </c>
      <c r="M139" s="335"/>
      <c r="N139" s="335">
        <f t="shared" si="40"/>
        <v>173.5654995505859</v>
      </c>
      <c r="O139" s="335">
        <f t="shared" si="58"/>
        <v>53.6096868344292</v>
      </c>
      <c r="P139" s="360">
        <f t="shared" si="41"/>
        <v>20774.25025923588</v>
      </c>
      <c r="R139" s="359">
        <f t="shared" si="42"/>
        <v>45138</v>
      </c>
      <c r="S139" s="334">
        <f t="shared" si="43"/>
        <v>127</v>
      </c>
      <c r="T139" s="335">
        <f t="shared" si="44"/>
        <v>227.1751863850151</v>
      </c>
      <c r="U139" s="335"/>
      <c r="V139" s="335">
        <f t="shared" si="45"/>
        <v>173.5654995505859</v>
      </c>
      <c r="W139" s="335">
        <f t="shared" si="59"/>
        <v>53.6096868344292</v>
      </c>
      <c r="X139" s="360">
        <f t="shared" si="46"/>
        <v>20774.25025923588</v>
      </c>
      <c r="Z139" s="359">
        <f t="shared" si="47"/>
        <v>45138</v>
      </c>
      <c r="AA139" s="334">
        <f t="shared" si="48"/>
        <v>127</v>
      </c>
      <c r="AB139" s="335">
        <f t="shared" si="49"/>
        <v>227.1751863850151</v>
      </c>
      <c r="AC139" s="335"/>
      <c r="AD139" s="335">
        <f t="shared" si="50"/>
        <v>173.5654995505859</v>
      </c>
      <c r="AE139" s="335">
        <f t="shared" si="60"/>
        <v>53.6096868344292</v>
      </c>
      <c r="AF139" s="360">
        <f t="shared" si="51"/>
        <v>20774.25025923588</v>
      </c>
      <c r="AH139" s="359">
        <f t="shared" si="52"/>
        <v>45138</v>
      </c>
      <c r="AI139" s="334">
        <f t="shared" si="53"/>
        <v>127</v>
      </c>
      <c r="AJ139" s="335">
        <f t="shared" si="54"/>
        <v>227.1751863850151</v>
      </c>
      <c r="AK139" s="335"/>
      <c r="AL139" s="335">
        <f t="shared" si="55"/>
        <v>173.5654995505859</v>
      </c>
      <c r="AM139" s="335">
        <f t="shared" si="61"/>
        <v>53.6096868344292</v>
      </c>
      <c r="AN139" s="360">
        <f t="shared" si="56"/>
        <v>20774.25025923588</v>
      </c>
    </row>
    <row r="140" spans="1:40" ht="12.75">
      <c r="A140" s="359">
        <f t="shared" si="31"/>
        <v>45169</v>
      </c>
      <c r="B140" s="334">
        <f t="shared" si="32"/>
        <v>128</v>
      </c>
      <c r="C140" s="335">
        <f t="shared" si="33"/>
        <v>227.1751863850151</v>
      </c>
      <c r="D140" s="335"/>
      <c r="E140" s="335">
        <f t="shared" si="34"/>
        <v>173.11875216029898</v>
      </c>
      <c r="F140" s="335">
        <f t="shared" si="57"/>
        <v>54.05643422471613</v>
      </c>
      <c r="G140" s="360">
        <f t="shared" si="35"/>
        <v>20720.193825011163</v>
      </c>
      <c r="H140" s="336" t="e">
        <f t="shared" si="36"/>
        <v>#VALUE!</v>
      </c>
      <c r="I140" s="333"/>
      <c r="J140" s="359">
        <f t="shared" si="37"/>
        <v>45169</v>
      </c>
      <c r="K140" s="334">
        <f t="shared" si="38"/>
        <v>128</v>
      </c>
      <c r="L140" s="335">
        <f t="shared" si="39"/>
        <v>227.1751863850151</v>
      </c>
      <c r="M140" s="335"/>
      <c r="N140" s="335">
        <f t="shared" si="40"/>
        <v>173.11875216029898</v>
      </c>
      <c r="O140" s="335">
        <f t="shared" si="58"/>
        <v>54.05643422471613</v>
      </c>
      <c r="P140" s="360">
        <f t="shared" si="41"/>
        <v>20720.193825011163</v>
      </c>
      <c r="R140" s="359">
        <f t="shared" si="42"/>
        <v>45169</v>
      </c>
      <c r="S140" s="334">
        <f t="shared" si="43"/>
        <v>128</v>
      </c>
      <c r="T140" s="335">
        <f t="shared" si="44"/>
        <v>227.1751863850151</v>
      </c>
      <c r="U140" s="335"/>
      <c r="V140" s="335">
        <f t="shared" si="45"/>
        <v>173.11875216029898</v>
      </c>
      <c r="W140" s="335">
        <f t="shared" si="59"/>
        <v>54.05643422471613</v>
      </c>
      <c r="X140" s="360">
        <f t="shared" si="46"/>
        <v>20720.193825011163</v>
      </c>
      <c r="Z140" s="359">
        <f t="shared" si="47"/>
        <v>45169</v>
      </c>
      <c r="AA140" s="334">
        <f t="shared" si="48"/>
        <v>128</v>
      </c>
      <c r="AB140" s="335">
        <f t="shared" si="49"/>
        <v>227.1751863850151</v>
      </c>
      <c r="AC140" s="335"/>
      <c r="AD140" s="335">
        <f t="shared" si="50"/>
        <v>173.11875216029898</v>
      </c>
      <c r="AE140" s="335">
        <f t="shared" si="60"/>
        <v>54.05643422471613</v>
      </c>
      <c r="AF140" s="360">
        <f t="shared" si="51"/>
        <v>20720.193825011163</v>
      </c>
      <c r="AH140" s="359">
        <f t="shared" si="52"/>
        <v>45169</v>
      </c>
      <c r="AI140" s="334">
        <f t="shared" si="53"/>
        <v>128</v>
      </c>
      <c r="AJ140" s="335">
        <f t="shared" si="54"/>
        <v>227.1751863850151</v>
      </c>
      <c r="AK140" s="335"/>
      <c r="AL140" s="335">
        <f t="shared" si="55"/>
        <v>173.11875216029898</v>
      </c>
      <c r="AM140" s="335">
        <f t="shared" si="61"/>
        <v>54.05643422471613</v>
      </c>
      <c r="AN140" s="360">
        <f t="shared" si="56"/>
        <v>20720.193825011163</v>
      </c>
    </row>
    <row r="141" spans="1:40" ht="12.75">
      <c r="A141" s="359">
        <f t="shared" si="31"/>
        <v>45199</v>
      </c>
      <c r="B141" s="334">
        <f t="shared" si="32"/>
        <v>129</v>
      </c>
      <c r="C141" s="335">
        <f t="shared" si="33"/>
        <v>227.1751863850151</v>
      </c>
      <c r="D141" s="335"/>
      <c r="E141" s="335">
        <f t="shared" si="34"/>
        <v>172.66828187509302</v>
      </c>
      <c r="F141" s="335">
        <f t="shared" si="57"/>
        <v>54.506904509922094</v>
      </c>
      <c r="G141" s="360">
        <f t="shared" si="35"/>
        <v>20665.68692050124</v>
      </c>
      <c r="H141" s="336" t="e">
        <f t="shared" si="36"/>
        <v>#VALUE!</v>
      </c>
      <c r="I141" s="333"/>
      <c r="J141" s="359">
        <f t="shared" si="37"/>
        <v>45199</v>
      </c>
      <c r="K141" s="334">
        <f t="shared" si="38"/>
        <v>129</v>
      </c>
      <c r="L141" s="335">
        <f t="shared" si="39"/>
        <v>227.1751863850151</v>
      </c>
      <c r="M141" s="335"/>
      <c r="N141" s="335">
        <f t="shared" si="40"/>
        <v>172.66828187509302</v>
      </c>
      <c r="O141" s="335">
        <f t="shared" si="58"/>
        <v>54.506904509922094</v>
      </c>
      <c r="P141" s="360">
        <f t="shared" si="41"/>
        <v>20665.68692050124</v>
      </c>
      <c r="R141" s="359">
        <f t="shared" si="42"/>
        <v>45199</v>
      </c>
      <c r="S141" s="334">
        <f t="shared" si="43"/>
        <v>129</v>
      </c>
      <c r="T141" s="335">
        <f t="shared" si="44"/>
        <v>227.1751863850151</v>
      </c>
      <c r="U141" s="335"/>
      <c r="V141" s="335">
        <f t="shared" si="45"/>
        <v>172.66828187509302</v>
      </c>
      <c r="W141" s="335">
        <f t="shared" si="59"/>
        <v>54.506904509922094</v>
      </c>
      <c r="X141" s="360">
        <f t="shared" si="46"/>
        <v>20665.68692050124</v>
      </c>
      <c r="Z141" s="359">
        <f t="shared" si="47"/>
        <v>45199</v>
      </c>
      <c r="AA141" s="334">
        <f t="shared" si="48"/>
        <v>129</v>
      </c>
      <c r="AB141" s="335">
        <f t="shared" si="49"/>
        <v>227.1751863850151</v>
      </c>
      <c r="AC141" s="335"/>
      <c r="AD141" s="335">
        <f t="shared" si="50"/>
        <v>172.66828187509302</v>
      </c>
      <c r="AE141" s="335">
        <f t="shared" si="60"/>
        <v>54.506904509922094</v>
      </c>
      <c r="AF141" s="360">
        <f t="shared" si="51"/>
        <v>20665.68692050124</v>
      </c>
      <c r="AH141" s="359">
        <f t="shared" si="52"/>
        <v>45199</v>
      </c>
      <c r="AI141" s="334">
        <f t="shared" si="53"/>
        <v>129</v>
      </c>
      <c r="AJ141" s="335">
        <f t="shared" si="54"/>
        <v>227.1751863850151</v>
      </c>
      <c r="AK141" s="335"/>
      <c r="AL141" s="335">
        <f t="shared" si="55"/>
        <v>172.66828187509302</v>
      </c>
      <c r="AM141" s="335">
        <f t="shared" si="61"/>
        <v>54.506904509922094</v>
      </c>
      <c r="AN141" s="360">
        <f t="shared" si="56"/>
        <v>20665.68692050124</v>
      </c>
    </row>
    <row r="142" spans="1:40" ht="12.75">
      <c r="A142" s="359">
        <f aca="true" t="shared" si="62" ref="A142:A205">IF($C$8&lt;27,DATE((YEAR(A141)-1900),MONTH(A141)+1,$C$8),DATE((YEAR(A141)-1900),MONTH(A141)+2,1)-1)</f>
        <v>45230</v>
      </c>
      <c r="B142" s="334">
        <f aca="true" t="shared" si="63" ref="B142:B189">B141+1</f>
        <v>130</v>
      </c>
      <c r="C142" s="335">
        <f aca="true" t="shared" si="64" ref="C142:C189">IF(G141&gt;0.5,C141,"")</f>
        <v>227.1751863850151</v>
      </c>
      <c r="D142" s="335"/>
      <c r="E142" s="335">
        <f aca="true" t="shared" si="65" ref="E142:E205">IF(G141&gt;0.5,$D$5*G141,"")</f>
        <v>172.21405767084366</v>
      </c>
      <c r="F142" s="335">
        <f t="shared" si="57"/>
        <v>54.96112871417145</v>
      </c>
      <c r="G142" s="360">
        <f aca="true" t="shared" si="66" ref="G142:G189">IF(G141&gt;0.5,G141-F142,0)</f>
        <v>20610.72579178707</v>
      </c>
      <c r="H142" s="336" t="e">
        <f aca="true" t="shared" si="67" ref="H142:H205">IF(G141&gt;0.5,E142*$J$5,"")</f>
        <v>#VALUE!</v>
      </c>
      <c r="I142" s="333"/>
      <c r="J142" s="359">
        <f aca="true" t="shared" si="68" ref="J142:J205">IF($C$8&lt;27,DATE((YEAR(J141)-1900),MONTH(J141)+1,$C$8),DATE((YEAR(J141)-1900),MONTH(J141)+2,1)-1)</f>
        <v>45230</v>
      </c>
      <c r="K142" s="334">
        <f aca="true" t="shared" si="69" ref="K142:K189">K141+1</f>
        <v>130</v>
      </c>
      <c r="L142" s="335">
        <f aca="true" t="shared" si="70" ref="L142:L189">IF(P141&gt;0.5,L141,"")</f>
        <v>227.1751863850151</v>
      </c>
      <c r="M142" s="335"/>
      <c r="N142" s="335">
        <f aca="true" t="shared" si="71" ref="N142:N205">IF(P141&gt;0.5,$D$5*P141,"")</f>
        <v>172.21405767084366</v>
      </c>
      <c r="O142" s="335">
        <f t="shared" si="58"/>
        <v>54.96112871417145</v>
      </c>
      <c r="P142" s="360">
        <f aca="true" t="shared" si="72" ref="P142:P189">IF(P141&gt;0.5,P141-O142,0)</f>
        <v>20610.72579178707</v>
      </c>
      <c r="R142" s="359">
        <f aca="true" t="shared" si="73" ref="R142:R205">IF($C$8&lt;27,DATE((YEAR(R141)-1900),MONTH(R141)+1,$C$8),DATE((YEAR(R141)-1900),MONTH(R141)+2,1)-1)</f>
        <v>45230</v>
      </c>
      <c r="S142" s="334">
        <f aca="true" t="shared" si="74" ref="S142:S189">S141+1</f>
        <v>130</v>
      </c>
      <c r="T142" s="335">
        <f aca="true" t="shared" si="75" ref="T142:T189">IF(X141&gt;0.5,T141,"")</f>
        <v>227.1751863850151</v>
      </c>
      <c r="U142" s="335"/>
      <c r="V142" s="335">
        <f aca="true" t="shared" si="76" ref="V142:V205">IF(X141&gt;0.5,$D$5*X141,"")</f>
        <v>172.21405767084366</v>
      </c>
      <c r="W142" s="335">
        <f t="shared" si="59"/>
        <v>54.96112871417145</v>
      </c>
      <c r="X142" s="360">
        <f aca="true" t="shared" si="77" ref="X142:X189">IF(X141&gt;0.5,X141-W142,0)</f>
        <v>20610.72579178707</v>
      </c>
      <c r="Z142" s="359">
        <f aca="true" t="shared" si="78" ref="Z142:Z205">IF($C$8&lt;27,DATE((YEAR(Z141)-1900),MONTH(Z141)+1,$C$8),DATE((YEAR(Z141)-1900),MONTH(Z141)+2,1)-1)</f>
        <v>45230</v>
      </c>
      <c r="AA142" s="334">
        <f aca="true" t="shared" si="79" ref="AA142:AA189">AA141+1</f>
        <v>130</v>
      </c>
      <c r="AB142" s="335">
        <f aca="true" t="shared" si="80" ref="AB142:AB189">IF(AF141&gt;0.5,AB141,"")</f>
        <v>227.1751863850151</v>
      </c>
      <c r="AC142" s="335"/>
      <c r="AD142" s="335">
        <f aca="true" t="shared" si="81" ref="AD142:AD205">IF(AF141&gt;0.5,$D$5*AF141,"")</f>
        <v>172.21405767084366</v>
      </c>
      <c r="AE142" s="335">
        <f t="shared" si="60"/>
        <v>54.96112871417145</v>
      </c>
      <c r="AF142" s="360">
        <f aca="true" t="shared" si="82" ref="AF142:AF189">IF(AF141&gt;0.5,AF141-AE142,0)</f>
        <v>20610.72579178707</v>
      </c>
      <c r="AH142" s="359">
        <f aca="true" t="shared" si="83" ref="AH142:AH205">IF($C$8&lt;27,DATE((YEAR(AH141)-1900),MONTH(AH141)+1,$C$8),DATE((YEAR(AH141)-1900),MONTH(AH141)+2,1)-1)</f>
        <v>45230</v>
      </c>
      <c r="AI142" s="334">
        <f aca="true" t="shared" si="84" ref="AI142:AI189">AI141+1</f>
        <v>130</v>
      </c>
      <c r="AJ142" s="335">
        <f aca="true" t="shared" si="85" ref="AJ142:AJ189">IF(AN141&gt;0.5,AJ141,"")</f>
        <v>227.1751863850151</v>
      </c>
      <c r="AK142" s="335"/>
      <c r="AL142" s="335">
        <f aca="true" t="shared" si="86" ref="AL142:AL205">IF(AN141&gt;0.5,$D$5*AN141,"")</f>
        <v>172.21405767084366</v>
      </c>
      <c r="AM142" s="335">
        <f t="shared" si="61"/>
        <v>54.96112871417145</v>
      </c>
      <c r="AN142" s="360">
        <f aca="true" t="shared" si="87" ref="AN142:AN189">IF(AN141&gt;0.5,AN141-AM142,0)</f>
        <v>20610.72579178707</v>
      </c>
    </row>
    <row r="143" spans="1:40" ht="12.75">
      <c r="A143" s="359">
        <f t="shared" si="62"/>
        <v>45260</v>
      </c>
      <c r="B143" s="334">
        <f t="shared" si="63"/>
        <v>131</v>
      </c>
      <c r="C143" s="335">
        <f t="shared" si="64"/>
        <v>227.1751863850151</v>
      </c>
      <c r="D143" s="335"/>
      <c r="E143" s="335">
        <f t="shared" si="65"/>
        <v>171.75604826489226</v>
      </c>
      <c r="F143" s="335">
        <f aca="true" t="shared" si="88" ref="F143:F206">IF(G142&gt;0.5,C143-E143+D143,"")</f>
        <v>55.41913812012285</v>
      </c>
      <c r="G143" s="360">
        <f t="shared" si="66"/>
        <v>20555.306653666947</v>
      </c>
      <c r="H143" s="336" t="e">
        <f t="shared" si="67"/>
        <v>#VALUE!</v>
      </c>
      <c r="I143" s="333"/>
      <c r="J143" s="359">
        <f t="shared" si="68"/>
        <v>45260</v>
      </c>
      <c r="K143" s="334">
        <f t="shared" si="69"/>
        <v>131</v>
      </c>
      <c r="L143" s="335">
        <f t="shared" si="70"/>
        <v>227.1751863850151</v>
      </c>
      <c r="M143" s="335"/>
      <c r="N143" s="335">
        <f t="shared" si="71"/>
        <v>171.75604826489226</v>
      </c>
      <c r="O143" s="335">
        <f aca="true" t="shared" si="89" ref="O143:O206">IF(P142&gt;0.5,L143-N143+M143,"")</f>
        <v>55.41913812012285</v>
      </c>
      <c r="P143" s="360">
        <f t="shared" si="72"/>
        <v>20555.306653666947</v>
      </c>
      <c r="R143" s="359">
        <f t="shared" si="73"/>
        <v>45260</v>
      </c>
      <c r="S143" s="334">
        <f t="shared" si="74"/>
        <v>131</v>
      </c>
      <c r="T143" s="335">
        <f t="shared" si="75"/>
        <v>227.1751863850151</v>
      </c>
      <c r="U143" s="335"/>
      <c r="V143" s="335">
        <f t="shared" si="76"/>
        <v>171.75604826489226</v>
      </c>
      <c r="W143" s="335">
        <f aca="true" t="shared" si="90" ref="W143:W206">IF(X142&gt;0.5,T143-V143+U143,"")</f>
        <v>55.41913812012285</v>
      </c>
      <c r="X143" s="360">
        <f t="shared" si="77"/>
        <v>20555.306653666947</v>
      </c>
      <c r="Z143" s="359">
        <f t="shared" si="78"/>
        <v>45260</v>
      </c>
      <c r="AA143" s="334">
        <f t="shared" si="79"/>
        <v>131</v>
      </c>
      <c r="AB143" s="335">
        <f t="shared" si="80"/>
        <v>227.1751863850151</v>
      </c>
      <c r="AC143" s="335"/>
      <c r="AD143" s="335">
        <f t="shared" si="81"/>
        <v>171.75604826489226</v>
      </c>
      <c r="AE143" s="335">
        <f aca="true" t="shared" si="91" ref="AE143:AE206">IF(AF142&gt;0.5,AB143-AD143+AC143,"")</f>
        <v>55.41913812012285</v>
      </c>
      <c r="AF143" s="360">
        <f t="shared" si="82"/>
        <v>20555.306653666947</v>
      </c>
      <c r="AH143" s="359">
        <f t="shared" si="83"/>
        <v>45260</v>
      </c>
      <c r="AI143" s="334">
        <f t="shared" si="84"/>
        <v>131</v>
      </c>
      <c r="AJ143" s="335">
        <f t="shared" si="85"/>
        <v>227.1751863850151</v>
      </c>
      <c r="AK143" s="335"/>
      <c r="AL143" s="335">
        <f t="shared" si="86"/>
        <v>171.75604826489226</v>
      </c>
      <c r="AM143" s="335">
        <f aca="true" t="shared" si="92" ref="AM143:AM206">IF(AN142&gt;0.5,AJ143-AL143+AK143,"")</f>
        <v>55.41913812012285</v>
      </c>
      <c r="AN143" s="360">
        <f t="shared" si="87"/>
        <v>20555.306653666947</v>
      </c>
    </row>
    <row r="144" spans="1:40" ht="12.75">
      <c r="A144" s="359">
        <f t="shared" si="62"/>
        <v>45291</v>
      </c>
      <c r="B144" s="334">
        <f t="shared" si="63"/>
        <v>132</v>
      </c>
      <c r="C144" s="335">
        <f t="shared" si="64"/>
        <v>227.1751863850151</v>
      </c>
      <c r="D144" s="335"/>
      <c r="E144" s="335">
        <f t="shared" si="65"/>
        <v>171.2942221138912</v>
      </c>
      <c r="F144" s="335">
        <f t="shared" si="88"/>
        <v>55.8809642711239</v>
      </c>
      <c r="G144" s="360">
        <f t="shared" si="66"/>
        <v>20499.425689395823</v>
      </c>
      <c r="H144" s="336" t="e">
        <f t="shared" si="67"/>
        <v>#VALUE!</v>
      </c>
      <c r="I144" s="333"/>
      <c r="J144" s="359">
        <f t="shared" si="68"/>
        <v>45291</v>
      </c>
      <c r="K144" s="334">
        <f t="shared" si="69"/>
        <v>132</v>
      </c>
      <c r="L144" s="335">
        <f t="shared" si="70"/>
        <v>227.1751863850151</v>
      </c>
      <c r="M144" s="335"/>
      <c r="N144" s="335">
        <f t="shared" si="71"/>
        <v>171.2942221138912</v>
      </c>
      <c r="O144" s="335">
        <f t="shared" si="89"/>
        <v>55.8809642711239</v>
      </c>
      <c r="P144" s="360">
        <f t="shared" si="72"/>
        <v>20499.425689395823</v>
      </c>
      <c r="R144" s="359">
        <f t="shared" si="73"/>
        <v>45291</v>
      </c>
      <c r="S144" s="334">
        <f t="shared" si="74"/>
        <v>132</v>
      </c>
      <c r="T144" s="335">
        <f t="shared" si="75"/>
        <v>227.1751863850151</v>
      </c>
      <c r="U144" s="335"/>
      <c r="V144" s="335">
        <f t="shared" si="76"/>
        <v>171.2942221138912</v>
      </c>
      <c r="W144" s="335">
        <f t="shared" si="90"/>
        <v>55.8809642711239</v>
      </c>
      <c r="X144" s="360">
        <f t="shared" si="77"/>
        <v>20499.425689395823</v>
      </c>
      <c r="Z144" s="359">
        <f t="shared" si="78"/>
        <v>45291</v>
      </c>
      <c r="AA144" s="334">
        <f t="shared" si="79"/>
        <v>132</v>
      </c>
      <c r="AB144" s="335">
        <f t="shared" si="80"/>
        <v>227.1751863850151</v>
      </c>
      <c r="AC144" s="335"/>
      <c r="AD144" s="335">
        <f t="shared" si="81"/>
        <v>171.2942221138912</v>
      </c>
      <c r="AE144" s="335">
        <f t="shared" si="91"/>
        <v>55.8809642711239</v>
      </c>
      <c r="AF144" s="360">
        <f t="shared" si="82"/>
        <v>20499.425689395823</v>
      </c>
      <c r="AH144" s="359">
        <f t="shared" si="83"/>
        <v>45291</v>
      </c>
      <c r="AI144" s="334">
        <f t="shared" si="84"/>
        <v>132</v>
      </c>
      <c r="AJ144" s="335">
        <f t="shared" si="85"/>
        <v>227.1751863850151</v>
      </c>
      <c r="AK144" s="335"/>
      <c r="AL144" s="335">
        <f t="shared" si="86"/>
        <v>171.2942221138912</v>
      </c>
      <c r="AM144" s="335">
        <f t="shared" si="92"/>
        <v>55.8809642711239</v>
      </c>
      <c r="AN144" s="360">
        <f t="shared" si="87"/>
        <v>20499.425689395823</v>
      </c>
    </row>
    <row r="145" spans="1:40" ht="12.75">
      <c r="A145" s="359">
        <f t="shared" si="62"/>
        <v>45322</v>
      </c>
      <c r="B145" s="334">
        <f t="shared" si="63"/>
        <v>133</v>
      </c>
      <c r="C145" s="335">
        <f t="shared" si="64"/>
        <v>227.1751863850151</v>
      </c>
      <c r="D145" s="335"/>
      <c r="E145" s="335">
        <f t="shared" si="65"/>
        <v>170.82854741163186</v>
      </c>
      <c r="F145" s="335">
        <f t="shared" si="88"/>
        <v>56.34663897338325</v>
      </c>
      <c r="G145" s="360">
        <f t="shared" si="66"/>
        <v>20443.07905042244</v>
      </c>
      <c r="H145" s="336" t="e">
        <f t="shared" si="67"/>
        <v>#VALUE!</v>
      </c>
      <c r="I145" s="333"/>
      <c r="J145" s="359">
        <f t="shared" si="68"/>
        <v>45322</v>
      </c>
      <c r="K145" s="334">
        <f t="shared" si="69"/>
        <v>133</v>
      </c>
      <c r="L145" s="335">
        <f t="shared" si="70"/>
        <v>227.1751863850151</v>
      </c>
      <c r="M145" s="335"/>
      <c r="N145" s="335">
        <f t="shared" si="71"/>
        <v>170.82854741163186</v>
      </c>
      <c r="O145" s="335">
        <f t="shared" si="89"/>
        <v>56.34663897338325</v>
      </c>
      <c r="P145" s="360">
        <f t="shared" si="72"/>
        <v>20443.07905042244</v>
      </c>
      <c r="R145" s="359">
        <f t="shared" si="73"/>
        <v>45322</v>
      </c>
      <c r="S145" s="334">
        <f t="shared" si="74"/>
        <v>133</v>
      </c>
      <c r="T145" s="335">
        <f t="shared" si="75"/>
        <v>227.1751863850151</v>
      </c>
      <c r="U145" s="335"/>
      <c r="V145" s="335">
        <f t="shared" si="76"/>
        <v>170.82854741163186</v>
      </c>
      <c r="W145" s="335">
        <f t="shared" si="90"/>
        <v>56.34663897338325</v>
      </c>
      <c r="X145" s="360">
        <f t="shared" si="77"/>
        <v>20443.07905042244</v>
      </c>
      <c r="Z145" s="359">
        <f t="shared" si="78"/>
        <v>45322</v>
      </c>
      <c r="AA145" s="334">
        <f t="shared" si="79"/>
        <v>133</v>
      </c>
      <c r="AB145" s="335">
        <f t="shared" si="80"/>
        <v>227.1751863850151</v>
      </c>
      <c r="AC145" s="335"/>
      <c r="AD145" s="335">
        <f t="shared" si="81"/>
        <v>170.82854741163186</v>
      </c>
      <c r="AE145" s="335">
        <f t="shared" si="91"/>
        <v>56.34663897338325</v>
      </c>
      <c r="AF145" s="360">
        <f t="shared" si="82"/>
        <v>20443.07905042244</v>
      </c>
      <c r="AH145" s="359">
        <f t="shared" si="83"/>
        <v>45322</v>
      </c>
      <c r="AI145" s="334">
        <f t="shared" si="84"/>
        <v>133</v>
      </c>
      <c r="AJ145" s="335">
        <f t="shared" si="85"/>
        <v>227.1751863850151</v>
      </c>
      <c r="AK145" s="335"/>
      <c r="AL145" s="335">
        <f t="shared" si="86"/>
        <v>170.82854741163186</v>
      </c>
      <c r="AM145" s="335">
        <f t="shared" si="92"/>
        <v>56.34663897338325</v>
      </c>
      <c r="AN145" s="360">
        <f t="shared" si="87"/>
        <v>20443.07905042244</v>
      </c>
    </row>
    <row r="146" spans="1:40" ht="12.75">
      <c r="A146" s="359">
        <f t="shared" si="62"/>
        <v>45351</v>
      </c>
      <c r="B146" s="334">
        <f t="shared" si="63"/>
        <v>134</v>
      </c>
      <c r="C146" s="335">
        <f t="shared" si="64"/>
        <v>227.1751863850151</v>
      </c>
      <c r="D146" s="335"/>
      <c r="E146" s="335">
        <f t="shared" si="65"/>
        <v>170.35899208685365</v>
      </c>
      <c r="F146" s="335">
        <f t="shared" si="88"/>
        <v>56.81619429816146</v>
      </c>
      <c r="G146" s="360">
        <f t="shared" si="66"/>
        <v>20386.26285612428</v>
      </c>
      <c r="H146" s="336" t="e">
        <f t="shared" si="67"/>
        <v>#VALUE!</v>
      </c>
      <c r="I146" s="333"/>
      <c r="J146" s="359">
        <f t="shared" si="68"/>
        <v>45351</v>
      </c>
      <c r="K146" s="334">
        <f t="shared" si="69"/>
        <v>134</v>
      </c>
      <c r="L146" s="335">
        <f t="shared" si="70"/>
        <v>227.1751863850151</v>
      </c>
      <c r="M146" s="335"/>
      <c r="N146" s="335">
        <f t="shared" si="71"/>
        <v>170.35899208685365</v>
      </c>
      <c r="O146" s="335">
        <f t="shared" si="89"/>
        <v>56.81619429816146</v>
      </c>
      <c r="P146" s="360">
        <f t="shared" si="72"/>
        <v>20386.26285612428</v>
      </c>
      <c r="R146" s="359">
        <f t="shared" si="73"/>
        <v>45351</v>
      </c>
      <c r="S146" s="334">
        <f t="shared" si="74"/>
        <v>134</v>
      </c>
      <c r="T146" s="335">
        <f t="shared" si="75"/>
        <v>227.1751863850151</v>
      </c>
      <c r="U146" s="335"/>
      <c r="V146" s="335">
        <f t="shared" si="76"/>
        <v>170.35899208685365</v>
      </c>
      <c r="W146" s="335">
        <f t="shared" si="90"/>
        <v>56.81619429816146</v>
      </c>
      <c r="X146" s="360">
        <f t="shared" si="77"/>
        <v>20386.26285612428</v>
      </c>
      <c r="Z146" s="359">
        <f t="shared" si="78"/>
        <v>45351</v>
      </c>
      <c r="AA146" s="334">
        <f t="shared" si="79"/>
        <v>134</v>
      </c>
      <c r="AB146" s="335">
        <f t="shared" si="80"/>
        <v>227.1751863850151</v>
      </c>
      <c r="AC146" s="335"/>
      <c r="AD146" s="335">
        <f t="shared" si="81"/>
        <v>170.35899208685365</v>
      </c>
      <c r="AE146" s="335">
        <f t="shared" si="91"/>
        <v>56.81619429816146</v>
      </c>
      <c r="AF146" s="360">
        <f t="shared" si="82"/>
        <v>20386.26285612428</v>
      </c>
      <c r="AH146" s="359">
        <f t="shared" si="83"/>
        <v>45351</v>
      </c>
      <c r="AI146" s="334">
        <f t="shared" si="84"/>
        <v>134</v>
      </c>
      <c r="AJ146" s="335">
        <f t="shared" si="85"/>
        <v>227.1751863850151</v>
      </c>
      <c r="AK146" s="335"/>
      <c r="AL146" s="335">
        <f t="shared" si="86"/>
        <v>170.35899208685365</v>
      </c>
      <c r="AM146" s="335">
        <f t="shared" si="92"/>
        <v>56.81619429816146</v>
      </c>
      <c r="AN146" s="360">
        <f t="shared" si="87"/>
        <v>20386.26285612428</v>
      </c>
    </row>
    <row r="147" spans="1:40" ht="12.75">
      <c r="A147" s="359">
        <f t="shared" si="62"/>
        <v>45382</v>
      </c>
      <c r="B147" s="334">
        <f t="shared" si="63"/>
        <v>135</v>
      </c>
      <c r="C147" s="335">
        <f t="shared" si="64"/>
        <v>227.1751863850151</v>
      </c>
      <c r="D147" s="335"/>
      <c r="E147" s="335">
        <f t="shared" si="65"/>
        <v>169.88552380103565</v>
      </c>
      <c r="F147" s="335">
        <f t="shared" si="88"/>
        <v>57.289662583979464</v>
      </c>
      <c r="G147" s="360">
        <f t="shared" si="66"/>
        <v>20328.9731935403</v>
      </c>
      <c r="H147" s="336" t="e">
        <f t="shared" si="67"/>
        <v>#VALUE!</v>
      </c>
      <c r="I147" s="333"/>
      <c r="J147" s="359">
        <f t="shared" si="68"/>
        <v>45382</v>
      </c>
      <c r="K147" s="334">
        <f t="shared" si="69"/>
        <v>135</v>
      </c>
      <c r="L147" s="335">
        <f t="shared" si="70"/>
        <v>227.1751863850151</v>
      </c>
      <c r="M147" s="335"/>
      <c r="N147" s="335">
        <f t="shared" si="71"/>
        <v>169.88552380103565</v>
      </c>
      <c r="O147" s="335">
        <f t="shared" si="89"/>
        <v>57.289662583979464</v>
      </c>
      <c r="P147" s="360">
        <f t="shared" si="72"/>
        <v>20328.9731935403</v>
      </c>
      <c r="R147" s="359">
        <f t="shared" si="73"/>
        <v>45382</v>
      </c>
      <c r="S147" s="334">
        <f t="shared" si="74"/>
        <v>135</v>
      </c>
      <c r="T147" s="335">
        <f t="shared" si="75"/>
        <v>227.1751863850151</v>
      </c>
      <c r="U147" s="335"/>
      <c r="V147" s="335">
        <f t="shared" si="76"/>
        <v>169.88552380103565</v>
      </c>
      <c r="W147" s="335">
        <f t="shared" si="90"/>
        <v>57.289662583979464</v>
      </c>
      <c r="X147" s="360">
        <f t="shared" si="77"/>
        <v>20328.9731935403</v>
      </c>
      <c r="Z147" s="359">
        <f t="shared" si="78"/>
        <v>45382</v>
      </c>
      <c r="AA147" s="334">
        <f t="shared" si="79"/>
        <v>135</v>
      </c>
      <c r="AB147" s="335">
        <f t="shared" si="80"/>
        <v>227.1751863850151</v>
      </c>
      <c r="AC147" s="335"/>
      <c r="AD147" s="335">
        <f t="shared" si="81"/>
        <v>169.88552380103565</v>
      </c>
      <c r="AE147" s="335">
        <f t="shared" si="91"/>
        <v>57.289662583979464</v>
      </c>
      <c r="AF147" s="360">
        <f t="shared" si="82"/>
        <v>20328.9731935403</v>
      </c>
      <c r="AH147" s="359">
        <f t="shared" si="83"/>
        <v>45382</v>
      </c>
      <c r="AI147" s="334">
        <f t="shared" si="84"/>
        <v>135</v>
      </c>
      <c r="AJ147" s="335">
        <f t="shared" si="85"/>
        <v>227.1751863850151</v>
      </c>
      <c r="AK147" s="335"/>
      <c r="AL147" s="335">
        <f t="shared" si="86"/>
        <v>169.88552380103565</v>
      </c>
      <c r="AM147" s="335">
        <f t="shared" si="92"/>
        <v>57.289662583979464</v>
      </c>
      <c r="AN147" s="360">
        <f t="shared" si="87"/>
        <v>20328.9731935403</v>
      </c>
    </row>
    <row r="148" spans="1:40" ht="12.75">
      <c r="A148" s="359">
        <f t="shared" si="62"/>
        <v>45412</v>
      </c>
      <c r="B148" s="334">
        <f t="shared" si="63"/>
        <v>136</v>
      </c>
      <c r="C148" s="335">
        <f t="shared" si="64"/>
        <v>227.1751863850151</v>
      </c>
      <c r="D148" s="335"/>
      <c r="E148" s="335">
        <f t="shared" si="65"/>
        <v>169.40810994616916</v>
      </c>
      <c r="F148" s="335">
        <f t="shared" si="88"/>
        <v>57.76707643884595</v>
      </c>
      <c r="G148" s="360">
        <f t="shared" si="66"/>
        <v>20271.206117101454</v>
      </c>
      <c r="H148" s="336" t="e">
        <f t="shared" si="67"/>
        <v>#VALUE!</v>
      </c>
      <c r="I148" s="333"/>
      <c r="J148" s="359">
        <f t="shared" si="68"/>
        <v>45412</v>
      </c>
      <c r="K148" s="334">
        <f t="shared" si="69"/>
        <v>136</v>
      </c>
      <c r="L148" s="335">
        <f t="shared" si="70"/>
        <v>227.1751863850151</v>
      </c>
      <c r="M148" s="335"/>
      <c r="N148" s="335">
        <f t="shared" si="71"/>
        <v>169.40810994616916</v>
      </c>
      <c r="O148" s="335">
        <f t="shared" si="89"/>
        <v>57.76707643884595</v>
      </c>
      <c r="P148" s="360">
        <f t="shared" si="72"/>
        <v>20271.206117101454</v>
      </c>
      <c r="R148" s="359">
        <f t="shared" si="73"/>
        <v>45412</v>
      </c>
      <c r="S148" s="334">
        <f t="shared" si="74"/>
        <v>136</v>
      </c>
      <c r="T148" s="335">
        <f t="shared" si="75"/>
        <v>227.1751863850151</v>
      </c>
      <c r="U148" s="335"/>
      <c r="V148" s="335">
        <f t="shared" si="76"/>
        <v>169.40810994616916</v>
      </c>
      <c r="W148" s="335">
        <f t="shared" si="90"/>
        <v>57.76707643884595</v>
      </c>
      <c r="X148" s="360">
        <f t="shared" si="77"/>
        <v>20271.206117101454</v>
      </c>
      <c r="Z148" s="359">
        <f t="shared" si="78"/>
        <v>45412</v>
      </c>
      <c r="AA148" s="334">
        <f t="shared" si="79"/>
        <v>136</v>
      </c>
      <c r="AB148" s="335">
        <f t="shared" si="80"/>
        <v>227.1751863850151</v>
      </c>
      <c r="AC148" s="335"/>
      <c r="AD148" s="335">
        <f t="shared" si="81"/>
        <v>169.40810994616916</v>
      </c>
      <c r="AE148" s="335">
        <f t="shared" si="91"/>
        <v>57.76707643884595</v>
      </c>
      <c r="AF148" s="360">
        <f t="shared" si="82"/>
        <v>20271.206117101454</v>
      </c>
      <c r="AH148" s="359">
        <f t="shared" si="83"/>
        <v>45412</v>
      </c>
      <c r="AI148" s="334">
        <f t="shared" si="84"/>
        <v>136</v>
      </c>
      <c r="AJ148" s="335">
        <f t="shared" si="85"/>
        <v>227.1751863850151</v>
      </c>
      <c r="AK148" s="335"/>
      <c r="AL148" s="335">
        <f t="shared" si="86"/>
        <v>169.40810994616916</v>
      </c>
      <c r="AM148" s="335">
        <f t="shared" si="92"/>
        <v>57.76707643884595</v>
      </c>
      <c r="AN148" s="360">
        <f t="shared" si="87"/>
        <v>20271.206117101454</v>
      </c>
    </row>
    <row r="149" spans="1:40" ht="12.75">
      <c r="A149" s="359">
        <f t="shared" si="62"/>
        <v>45443</v>
      </c>
      <c r="B149" s="334">
        <f t="shared" si="63"/>
        <v>137</v>
      </c>
      <c r="C149" s="335">
        <f t="shared" si="64"/>
        <v>227.1751863850151</v>
      </c>
      <c r="D149" s="335"/>
      <c r="E149" s="335">
        <f t="shared" si="65"/>
        <v>168.9267176425121</v>
      </c>
      <c r="F149" s="335">
        <f t="shared" si="88"/>
        <v>58.24846874250301</v>
      </c>
      <c r="G149" s="360">
        <f t="shared" si="66"/>
        <v>20212.95764835895</v>
      </c>
      <c r="H149" s="336" t="e">
        <f t="shared" si="67"/>
        <v>#VALUE!</v>
      </c>
      <c r="I149" s="333"/>
      <c r="J149" s="359">
        <f t="shared" si="68"/>
        <v>45443</v>
      </c>
      <c r="K149" s="334">
        <f t="shared" si="69"/>
        <v>137</v>
      </c>
      <c r="L149" s="335">
        <f t="shared" si="70"/>
        <v>227.1751863850151</v>
      </c>
      <c r="M149" s="335"/>
      <c r="N149" s="335">
        <f t="shared" si="71"/>
        <v>168.9267176425121</v>
      </c>
      <c r="O149" s="335">
        <f t="shared" si="89"/>
        <v>58.24846874250301</v>
      </c>
      <c r="P149" s="360">
        <f t="shared" si="72"/>
        <v>20212.95764835895</v>
      </c>
      <c r="R149" s="359">
        <f t="shared" si="73"/>
        <v>45443</v>
      </c>
      <c r="S149" s="334">
        <f t="shared" si="74"/>
        <v>137</v>
      </c>
      <c r="T149" s="335">
        <f t="shared" si="75"/>
        <v>227.1751863850151</v>
      </c>
      <c r="U149" s="335"/>
      <c r="V149" s="335">
        <f t="shared" si="76"/>
        <v>168.9267176425121</v>
      </c>
      <c r="W149" s="335">
        <f t="shared" si="90"/>
        <v>58.24846874250301</v>
      </c>
      <c r="X149" s="360">
        <f t="shared" si="77"/>
        <v>20212.95764835895</v>
      </c>
      <c r="Z149" s="359">
        <f t="shared" si="78"/>
        <v>45443</v>
      </c>
      <c r="AA149" s="334">
        <f t="shared" si="79"/>
        <v>137</v>
      </c>
      <c r="AB149" s="335">
        <f t="shared" si="80"/>
        <v>227.1751863850151</v>
      </c>
      <c r="AC149" s="335"/>
      <c r="AD149" s="335">
        <f t="shared" si="81"/>
        <v>168.9267176425121</v>
      </c>
      <c r="AE149" s="335">
        <f t="shared" si="91"/>
        <v>58.24846874250301</v>
      </c>
      <c r="AF149" s="360">
        <f t="shared" si="82"/>
        <v>20212.95764835895</v>
      </c>
      <c r="AH149" s="359">
        <f t="shared" si="83"/>
        <v>45443</v>
      </c>
      <c r="AI149" s="334">
        <f t="shared" si="84"/>
        <v>137</v>
      </c>
      <c r="AJ149" s="335">
        <f t="shared" si="85"/>
        <v>227.1751863850151</v>
      </c>
      <c r="AK149" s="335"/>
      <c r="AL149" s="335">
        <f t="shared" si="86"/>
        <v>168.9267176425121</v>
      </c>
      <c r="AM149" s="335">
        <f t="shared" si="92"/>
        <v>58.24846874250301</v>
      </c>
      <c r="AN149" s="360">
        <f t="shared" si="87"/>
        <v>20212.95764835895</v>
      </c>
    </row>
    <row r="150" spans="1:40" ht="12.75">
      <c r="A150" s="359">
        <f t="shared" si="62"/>
        <v>45473</v>
      </c>
      <c r="B150" s="334">
        <f t="shared" si="63"/>
        <v>138</v>
      </c>
      <c r="C150" s="335">
        <f t="shared" si="64"/>
        <v>227.1751863850151</v>
      </c>
      <c r="D150" s="335"/>
      <c r="E150" s="335">
        <f t="shared" si="65"/>
        <v>168.4413137363246</v>
      </c>
      <c r="F150" s="335">
        <f t="shared" si="88"/>
        <v>58.73387264869052</v>
      </c>
      <c r="G150" s="360">
        <f t="shared" si="66"/>
        <v>20154.223775710263</v>
      </c>
      <c r="H150" s="336" t="e">
        <f t="shared" si="67"/>
        <v>#VALUE!</v>
      </c>
      <c r="I150" s="333"/>
      <c r="J150" s="359">
        <f t="shared" si="68"/>
        <v>45473</v>
      </c>
      <c r="K150" s="334">
        <f t="shared" si="69"/>
        <v>138</v>
      </c>
      <c r="L150" s="335">
        <f t="shared" si="70"/>
        <v>227.1751863850151</v>
      </c>
      <c r="M150" s="335"/>
      <c r="N150" s="335">
        <f t="shared" si="71"/>
        <v>168.4413137363246</v>
      </c>
      <c r="O150" s="335">
        <f t="shared" si="89"/>
        <v>58.73387264869052</v>
      </c>
      <c r="P150" s="360">
        <f t="shared" si="72"/>
        <v>20154.223775710263</v>
      </c>
      <c r="R150" s="359">
        <f t="shared" si="73"/>
        <v>45473</v>
      </c>
      <c r="S150" s="334">
        <f t="shared" si="74"/>
        <v>138</v>
      </c>
      <c r="T150" s="335">
        <f t="shared" si="75"/>
        <v>227.1751863850151</v>
      </c>
      <c r="U150" s="335"/>
      <c r="V150" s="335">
        <f t="shared" si="76"/>
        <v>168.4413137363246</v>
      </c>
      <c r="W150" s="335">
        <f t="shared" si="90"/>
        <v>58.73387264869052</v>
      </c>
      <c r="X150" s="360">
        <f t="shared" si="77"/>
        <v>20154.223775710263</v>
      </c>
      <c r="Z150" s="359">
        <f t="shared" si="78"/>
        <v>45473</v>
      </c>
      <c r="AA150" s="334">
        <f t="shared" si="79"/>
        <v>138</v>
      </c>
      <c r="AB150" s="335">
        <f t="shared" si="80"/>
        <v>227.1751863850151</v>
      </c>
      <c r="AC150" s="335"/>
      <c r="AD150" s="335">
        <f t="shared" si="81"/>
        <v>168.4413137363246</v>
      </c>
      <c r="AE150" s="335">
        <f t="shared" si="91"/>
        <v>58.73387264869052</v>
      </c>
      <c r="AF150" s="360">
        <f t="shared" si="82"/>
        <v>20154.223775710263</v>
      </c>
      <c r="AH150" s="359">
        <f t="shared" si="83"/>
        <v>45473</v>
      </c>
      <c r="AI150" s="334">
        <f t="shared" si="84"/>
        <v>138</v>
      </c>
      <c r="AJ150" s="335">
        <f t="shared" si="85"/>
        <v>227.1751863850151</v>
      </c>
      <c r="AK150" s="335"/>
      <c r="AL150" s="335">
        <f t="shared" si="86"/>
        <v>168.4413137363246</v>
      </c>
      <c r="AM150" s="335">
        <f t="shared" si="92"/>
        <v>58.73387264869052</v>
      </c>
      <c r="AN150" s="360">
        <f t="shared" si="87"/>
        <v>20154.223775710263</v>
      </c>
    </row>
    <row r="151" spans="1:40" ht="12.75">
      <c r="A151" s="359">
        <f t="shared" si="62"/>
        <v>45504</v>
      </c>
      <c r="B151" s="334">
        <f t="shared" si="63"/>
        <v>139</v>
      </c>
      <c r="C151" s="335">
        <f t="shared" si="64"/>
        <v>227.1751863850151</v>
      </c>
      <c r="D151" s="335"/>
      <c r="E151" s="335">
        <f t="shared" si="65"/>
        <v>167.95186479758553</v>
      </c>
      <c r="F151" s="335">
        <f t="shared" si="88"/>
        <v>59.22332158742958</v>
      </c>
      <c r="G151" s="360">
        <f t="shared" si="66"/>
        <v>20095.000454122834</v>
      </c>
      <c r="H151" s="336" t="e">
        <f t="shared" si="67"/>
        <v>#VALUE!</v>
      </c>
      <c r="I151" s="333"/>
      <c r="J151" s="359">
        <f t="shared" si="68"/>
        <v>45504</v>
      </c>
      <c r="K151" s="334">
        <f t="shared" si="69"/>
        <v>139</v>
      </c>
      <c r="L151" s="335">
        <f t="shared" si="70"/>
        <v>227.1751863850151</v>
      </c>
      <c r="M151" s="335"/>
      <c r="N151" s="335">
        <f t="shared" si="71"/>
        <v>167.95186479758553</v>
      </c>
      <c r="O151" s="335">
        <f t="shared" si="89"/>
        <v>59.22332158742958</v>
      </c>
      <c r="P151" s="360">
        <f t="shared" si="72"/>
        <v>20095.000454122834</v>
      </c>
      <c r="R151" s="359">
        <f t="shared" si="73"/>
        <v>45504</v>
      </c>
      <c r="S151" s="334">
        <f t="shared" si="74"/>
        <v>139</v>
      </c>
      <c r="T151" s="335">
        <f t="shared" si="75"/>
        <v>227.1751863850151</v>
      </c>
      <c r="U151" s="335"/>
      <c r="V151" s="335">
        <f t="shared" si="76"/>
        <v>167.95186479758553</v>
      </c>
      <c r="W151" s="335">
        <f t="shared" si="90"/>
        <v>59.22332158742958</v>
      </c>
      <c r="X151" s="360">
        <f t="shared" si="77"/>
        <v>20095.000454122834</v>
      </c>
      <c r="Z151" s="359">
        <f t="shared" si="78"/>
        <v>45504</v>
      </c>
      <c r="AA151" s="334">
        <f t="shared" si="79"/>
        <v>139</v>
      </c>
      <c r="AB151" s="335">
        <f t="shared" si="80"/>
        <v>227.1751863850151</v>
      </c>
      <c r="AC151" s="335"/>
      <c r="AD151" s="335">
        <f t="shared" si="81"/>
        <v>167.95186479758553</v>
      </c>
      <c r="AE151" s="335">
        <f t="shared" si="91"/>
        <v>59.22332158742958</v>
      </c>
      <c r="AF151" s="360">
        <f t="shared" si="82"/>
        <v>20095.000454122834</v>
      </c>
      <c r="AH151" s="359">
        <f t="shared" si="83"/>
        <v>45504</v>
      </c>
      <c r="AI151" s="334">
        <f t="shared" si="84"/>
        <v>139</v>
      </c>
      <c r="AJ151" s="335">
        <f t="shared" si="85"/>
        <v>227.1751863850151</v>
      </c>
      <c r="AK151" s="335"/>
      <c r="AL151" s="335">
        <f t="shared" si="86"/>
        <v>167.95186479758553</v>
      </c>
      <c r="AM151" s="335">
        <f t="shared" si="92"/>
        <v>59.22332158742958</v>
      </c>
      <c r="AN151" s="360">
        <f t="shared" si="87"/>
        <v>20095.000454122834</v>
      </c>
    </row>
    <row r="152" spans="1:40" ht="12.75">
      <c r="A152" s="359">
        <f t="shared" si="62"/>
        <v>45535</v>
      </c>
      <c r="B152" s="334">
        <f t="shared" si="63"/>
        <v>140</v>
      </c>
      <c r="C152" s="335">
        <f t="shared" si="64"/>
        <v>227.1751863850151</v>
      </c>
      <c r="D152" s="335"/>
      <c r="E152" s="335">
        <f t="shared" si="65"/>
        <v>167.4583371176903</v>
      </c>
      <c r="F152" s="335">
        <f t="shared" si="88"/>
        <v>59.71684926732482</v>
      </c>
      <c r="G152" s="360">
        <f t="shared" si="66"/>
        <v>20035.283604855507</v>
      </c>
      <c r="H152" s="336" t="e">
        <f t="shared" si="67"/>
        <v>#VALUE!</v>
      </c>
      <c r="I152" s="333"/>
      <c r="J152" s="359">
        <f t="shared" si="68"/>
        <v>45535</v>
      </c>
      <c r="K152" s="334">
        <f t="shared" si="69"/>
        <v>140</v>
      </c>
      <c r="L152" s="335">
        <f t="shared" si="70"/>
        <v>227.1751863850151</v>
      </c>
      <c r="M152" s="335"/>
      <c r="N152" s="335">
        <f t="shared" si="71"/>
        <v>167.4583371176903</v>
      </c>
      <c r="O152" s="335">
        <f t="shared" si="89"/>
        <v>59.71684926732482</v>
      </c>
      <c r="P152" s="360">
        <f t="shared" si="72"/>
        <v>20035.283604855507</v>
      </c>
      <c r="R152" s="359">
        <f t="shared" si="73"/>
        <v>45535</v>
      </c>
      <c r="S152" s="334">
        <f t="shared" si="74"/>
        <v>140</v>
      </c>
      <c r="T152" s="335">
        <f t="shared" si="75"/>
        <v>227.1751863850151</v>
      </c>
      <c r="U152" s="335"/>
      <c r="V152" s="335">
        <f t="shared" si="76"/>
        <v>167.4583371176903</v>
      </c>
      <c r="W152" s="335">
        <f t="shared" si="90"/>
        <v>59.71684926732482</v>
      </c>
      <c r="X152" s="360">
        <f t="shared" si="77"/>
        <v>20035.283604855507</v>
      </c>
      <c r="Z152" s="359">
        <f t="shared" si="78"/>
        <v>45535</v>
      </c>
      <c r="AA152" s="334">
        <f t="shared" si="79"/>
        <v>140</v>
      </c>
      <c r="AB152" s="335">
        <f t="shared" si="80"/>
        <v>227.1751863850151</v>
      </c>
      <c r="AC152" s="335"/>
      <c r="AD152" s="335">
        <f t="shared" si="81"/>
        <v>167.4583371176903</v>
      </c>
      <c r="AE152" s="335">
        <f t="shared" si="91"/>
        <v>59.71684926732482</v>
      </c>
      <c r="AF152" s="360">
        <f t="shared" si="82"/>
        <v>20035.283604855507</v>
      </c>
      <c r="AH152" s="359">
        <f t="shared" si="83"/>
        <v>45535</v>
      </c>
      <c r="AI152" s="334">
        <f t="shared" si="84"/>
        <v>140</v>
      </c>
      <c r="AJ152" s="335">
        <f t="shared" si="85"/>
        <v>227.1751863850151</v>
      </c>
      <c r="AK152" s="335"/>
      <c r="AL152" s="335">
        <f t="shared" si="86"/>
        <v>167.4583371176903</v>
      </c>
      <c r="AM152" s="335">
        <f t="shared" si="92"/>
        <v>59.71684926732482</v>
      </c>
      <c r="AN152" s="360">
        <f t="shared" si="87"/>
        <v>20035.283604855507</v>
      </c>
    </row>
    <row r="153" spans="1:40" ht="12.75">
      <c r="A153" s="359">
        <f t="shared" si="62"/>
        <v>45565</v>
      </c>
      <c r="B153" s="334">
        <f t="shared" si="63"/>
        <v>141</v>
      </c>
      <c r="C153" s="335">
        <f t="shared" si="64"/>
        <v>227.1751863850151</v>
      </c>
      <c r="D153" s="335"/>
      <c r="E153" s="335">
        <f t="shared" si="65"/>
        <v>166.96069670712922</v>
      </c>
      <c r="F153" s="335">
        <f t="shared" si="88"/>
        <v>60.214489677885894</v>
      </c>
      <c r="G153" s="360">
        <f t="shared" si="66"/>
        <v>19975.069115177623</v>
      </c>
      <c r="H153" s="336" t="e">
        <f t="shared" si="67"/>
        <v>#VALUE!</v>
      </c>
      <c r="I153" s="333"/>
      <c r="J153" s="359">
        <f t="shared" si="68"/>
        <v>45565</v>
      </c>
      <c r="K153" s="334">
        <f t="shared" si="69"/>
        <v>141</v>
      </c>
      <c r="L153" s="335">
        <f t="shared" si="70"/>
        <v>227.1751863850151</v>
      </c>
      <c r="M153" s="335"/>
      <c r="N153" s="335">
        <f t="shared" si="71"/>
        <v>166.96069670712922</v>
      </c>
      <c r="O153" s="335">
        <f t="shared" si="89"/>
        <v>60.214489677885894</v>
      </c>
      <c r="P153" s="360">
        <f t="shared" si="72"/>
        <v>19975.069115177623</v>
      </c>
      <c r="R153" s="359">
        <f t="shared" si="73"/>
        <v>45565</v>
      </c>
      <c r="S153" s="334">
        <f t="shared" si="74"/>
        <v>141</v>
      </c>
      <c r="T153" s="335">
        <f t="shared" si="75"/>
        <v>227.1751863850151</v>
      </c>
      <c r="U153" s="335"/>
      <c r="V153" s="335">
        <f t="shared" si="76"/>
        <v>166.96069670712922</v>
      </c>
      <c r="W153" s="335">
        <f t="shared" si="90"/>
        <v>60.214489677885894</v>
      </c>
      <c r="X153" s="360">
        <f t="shared" si="77"/>
        <v>19975.069115177623</v>
      </c>
      <c r="Z153" s="359">
        <f t="shared" si="78"/>
        <v>45565</v>
      </c>
      <c r="AA153" s="334">
        <f t="shared" si="79"/>
        <v>141</v>
      </c>
      <c r="AB153" s="335">
        <f t="shared" si="80"/>
        <v>227.1751863850151</v>
      </c>
      <c r="AC153" s="335"/>
      <c r="AD153" s="335">
        <f t="shared" si="81"/>
        <v>166.96069670712922</v>
      </c>
      <c r="AE153" s="335">
        <f t="shared" si="91"/>
        <v>60.214489677885894</v>
      </c>
      <c r="AF153" s="360">
        <f t="shared" si="82"/>
        <v>19975.069115177623</v>
      </c>
      <c r="AH153" s="359">
        <f t="shared" si="83"/>
        <v>45565</v>
      </c>
      <c r="AI153" s="334">
        <f t="shared" si="84"/>
        <v>141</v>
      </c>
      <c r="AJ153" s="335">
        <f t="shared" si="85"/>
        <v>227.1751863850151</v>
      </c>
      <c r="AK153" s="335"/>
      <c r="AL153" s="335">
        <f t="shared" si="86"/>
        <v>166.96069670712922</v>
      </c>
      <c r="AM153" s="335">
        <f t="shared" si="92"/>
        <v>60.214489677885894</v>
      </c>
      <c r="AN153" s="360">
        <f t="shared" si="87"/>
        <v>19975.069115177623</v>
      </c>
    </row>
    <row r="154" spans="1:40" ht="12.75">
      <c r="A154" s="359">
        <f t="shared" si="62"/>
        <v>45596</v>
      </c>
      <c r="B154" s="334">
        <f t="shared" si="63"/>
        <v>142</v>
      </c>
      <c r="C154" s="335">
        <f t="shared" si="64"/>
        <v>227.1751863850151</v>
      </c>
      <c r="D154" s="335"/>
      <c r="E154" s="335">
        <f t="shared" si="65"/>
        <v>166.45890929314686</v>
      </c>
      <c r="F154" s="335">
        <f t="shared" si="88"/>
        <v>60.71627709186825</v>
      </c>
      <c r="G154" s="360">
        <f t="shared" si="66"/>
        <v>19914.352838085753</v>
      </c>
      <c r="H154" s="336" t="e">
        <f t="shared" si="67"/>
        <v>#VALUE!</v>
      </c>
      <c r="I154" s="333"/>
      <c r="J154" s="359">
        <f t="shared" si="68"/>
        <v>45596</v>
      </c>
      <c r="K154" s="334">
        <f t="shared" si="69"/>
        <v>142</v>
      </c>
      <c r="L154" s="335">
        <f t="shared" si="70"/>
        <v>227.1751863850151</v>
      </c>
      <c r="M154" s="335"/>
      <c r="N154" s="335">
        <f t="shared" si="71"/>
        <v>166.45890929314686</v>
      </c>
      <c r="O154" s="335">
        <f t="shared" si="89"/>
        <v>60.71627709186825</v>
      </c>
      <c r="P154" s="360">
        <f t="shared" si="72"/>
        <v>19914.352838085753</v>
      </c>
      <c r="R154" s="359">
        <f t="shared" si="73"/>
        <v>45596</v>
      </c>
      <c r="S154" s="334">
        <f t="shared" si="74"/>
        <v>142</v>
      </c>
      <c r="T154" s="335">
        <f t="shared" si="75"/>
        <v>227.1751863850151</v>
      </c>
      <c r="U154" s="335"/>
      <c r="V154" s="335">
        <f t="shared" si="76"/>
        <v>166.45890929314686</v>
      </c>
      <c r="W154" s="335">
        <f t="shared" si="90"/>
        <v>60.71627709186825</v>
      </c>
      <c r="X154" s="360">
        <f t="shared" si="77"/>
        <v>19914.352838085753</v>
      </c>
      <c r="Z154" s="359">
        <f t="shared" si="78"/>
        <v>45596</v>
      </c>
      <c r="AA154" s="334">
        <f t="shared" si="79"/>
        <v>142</v>
      </c>
      <c r="AB154" s="335">
        <f t="shared" si="80"/>
        <v>227.1751863850151</v>
      </c>
      <c r="AC154" s="335"/>
      <c r="AD154" s="335">
        <f t="shared" si="81"/>
        <v>166.45890929314686</v>
      </c>
      <c r="AE154" s="335">
        <f t="shared" si="91"/>
        <v>60.71627709186825</v>
      </c>
      <c r="AF154" s="360">
        <f t="shared" si="82"/>
        <v>19914.352838085753</v>
      </c>
      <c r="AH154" s="359">
        <f t="shared" si="83"/>
        <v>45596</v>
      </c>
      <c r="AI154" s="334">
        <f t="shared" si="84"/>
        <v>142</v>
      </c>
      <c r="AJ154" s="335">
        <f t="shared" si="85"/>
        <v>227.1751863850151</v>
      </c>
      <c r="AK154" s="335"/>
      <c r="AL154" s="335">
        <f t="shared" si="86"/>
        <v>166.45890929314686</v>
      </c>
      <c r="AM154" s="335">
        <f t="shared" si="92"/>
        <v>60.71627709186825</v>
      </c>
      <c r="AN154" s="360">
        <f t="shared" si="87"/>
        <v>19914.352838085753</v>
      </c>
    </row>
    <row r="155" spans="1:40" ht="12.75">
      <c r="A155" s="359">
        <f t="shared" si="62"/>
        <v>45626</v>
      </c>
      <c r="B155" s="334">
        <f t="shared" si="63"/>
        <v>143</v>
      </c>
      <c r="C155" s="335">
        <f t="shared" si="64"/>
        <v>227.1751863850151</v>
      </c>
      <c r="D155" s="335"/>
      <c r="E155" s="335">
        <f t="shared" si="65"/>
        <v>165.95294031738126</v>
      </c>
      <c r="F155" s="335">
        <f t="shared" si="88"/>
        <v>61.22224606763385</v>
      </c>
      <c r="G155" s="360">
        <f t="shared" si="66"/>
        <v>19853.13059201812</v>
      </c>
      <c r="H155" s="336" t="e">
        <f t="shared" si="67"/>
        <v>#VALUE!</v>
      </c>
      <c r="I155" s="333"/>
      <c r="J155" s="359">
        <f t="shared" si="68"/>
        <v>45626</v>
      </c>
      <c r="K155" s="334">
        <f t="shared" si="69"/>
        <v>143</v>
      </c>
      <c r="L155" s="335">
        <f t="shared" si="70"/>
        <v>227.1751863850151</v>
      </c>
      <c r="M155" s="335"/>
      <c r="N155" s="335">
        <f t="shared" si="71"/>
        <v>165.95294031738126</v>
      </c>
      <c r="O155" s="335">
        <f t="shared" si="89"/>
        <v>61.22224606763385</v>
      </c>
      <c r="P155" s="360">
        <f t="shared" si="72"/>
        <v>19853.13059201812</v>
      </c>
      <c r="R155" s="359">
        <f t="shared" si="73"/>
        <v>45626</v>
      </c>
      <c r="S155" s="334">
        <f t="shared" si="74"/>
        <v>143</v>
      </c>
      <c r="T155" s="335">
        <f t="shared" si="75"/>
        <v>227.1751863850151</v>
      </c>
      <c r="U155" s="335"/>
      <c r="V155" s="335">
        <f t="shared" si="76"/>
        <v>165.95294031738126</v>
      </c>
      <c r="W155" s="335">
        <f t="shared" si="90"/>
        <v>61.22224606763385</v>
      </c>
      <c r="X155" s="360">
        <f t="shared" si="77"/>
        <v>19853.13059201812</v>
      </c>
      <c r="Z155" s="359">
        <f t="shared" si="78"/>
        <v>45626</v>
      </c>
      <c r="AA155" s="334">
        <f t="shared" si="79"/>
        <v>143</v>
      </c>
      <c r="AB155" s="335">
        <f t="shared" si="80"/>
        <v>227.1751863850151</v>
      </c>
      <c r="AC155" s="335"/>
      <c r="AD155" s="335">
        <f t="shared" si="81"/>
        <v>165.95294031738126</v>
      </c>
      <c r="AE155" s="335">
        <f t="shared" si="91"/>
        <v>61.22224606763385</v>
      </c>
      <c r="AF155" s="360">
        <f t="shared" si="82"/>
        <v>19853.13059201812</v>
      </c>
      <c r="AH155" s="359">
        <f t="shared" si="83"/>
        <v>45626</v>
      </c>
      <c r="AI155" s="334">
        <f t="shared" si="84"/>
        <v>143</v>
      </c>
      <c r="AJ155" s="335">
        <f t="shared" si="85"/>
        <v>227.1751863850151</v>
      </c>
      <c r="AK155" s="335"/>
      <c r="AL155" s="335">
        <f t="shared" si="86"/>
        <v>165.95294031738126</v>
      </c>
      <c r="AM155" s="335">
        <f t="shared" si="92"/>
        <v>61.22224606763385</v>
      </c>
      <c r="AN155" s="360">
        <f t="shared" si="87"/>
        <v>19853.13059201812</v>
      </c>
    </row>
    <row r="156" spans="1:40" ht="12.75">
      <c r="A156" s="359">
        <f t="shared" si="62"/>
        <v>45657</v>
      </c>
      <c r="B156" s="334">
        <f t="shared" si="63"/>
        <v>144</v>
      </c>
      <c r="C156" s="335">
        <f t="shared" si="64"/>
        <v>227.1751863850151</v>
      </c>
      <c r="D156" s="335"/>
      <c r="E156" s="335">
        <f t="shared" si="65"/>
        <v>165.4427549334843</v>
      </c>
      <c r="F156" s="335">
        <f t="shared" si="88"/>
        <v>61.7324314515308</v>
      </c>
      <c r="G156" s="360">
        <f t="shared" si="66"/>
        <v>19791.398160566587</v>
      </c>
      <c r="H156" s="336" t="e">
        <f t="shared" si="67"/>
        <v>#VALUE!</v>
      </c>
      <c r="I156" s="333"/>
      <c r="J156" s="359">
        <f t="shared" si="68"/>
        <v>45657</v>
      </c>
      <c r="K156" s="334">
        <f t="shared" si="69"/>
        <v>144</v>
      </c>
      <c r="L156" s="335">
        <f t="shared" si="70"/>
        <v>227.1751863850151</v>
      </c>
      <c r="M156" s="335"/>
      <c r="N156" s="335">
        <f t="shared" si="71"/>
        <v>165.4427549334843</v>
      </c>
      <c r="O156" s="335">
        <f t="shared" si="89"/>
        <v>61.7324314515308</v>
      </c>
      <c r="P156" s="360">
        <f t="shared" si="72"/>
        <v>19791.398160566587</v>
      </c>
      <c r="R156" s="359">
        <f t="shared" si="73"/>
        <v>45657</v>
      </c>
      <c r="S156" s="334">
        <f t="shared" si="74"/>
        <v>144</v>
      </c>
      <c r="T156" s="335">
        <f t="shared" si="75"/>
        <v>227.1751863850151</v>
      </c>
      <c r="U156" s="335"/>
      <c r="V156" s="335">
        <f t="shared" si="76"/>
        <v>165.4427549334843</v>
      </c>
      <c r="W156" s="335">
        <f t="shared" si="90"/>
        <v>61.7324314515308</v>
      </c>
      <c r="X156" s="360">
        <f t="shared" si="77"/>
        <v>19791.398160566587</v>
      </c>
      <c r="Z156" s="359">
        <f t="shared" si="78"/>
        <v>45657</v>
      </c>
      <c r="AA156" s="334">
        <f t="shared" si="79"/>
        <v>144</v>
      </c>
      <c r="AB156" s="335">
        <f t="shared" si="80"/>
        <v>227.1751863850151</v>
      </c>
      <c r="AC156" s="335"/>
      <c r="AD156" s="335">
        <f t="shared" si="81"/>
        <v>165.4427549334843</v>
      </c>
      <c r="AE156" s="335">
        <f t="shared" si="91"/>
        <v>61.7324314515308</v>
      </c>
      <c r="AF156" s="360">
        <f t="shared" si="82"/>
        <v>19791.398160566587</v>
      </c>
      <c r="AH156" s="359">
        <f t="shared" si="83"/>
        <v>45657</v>
      </c>
      <c r="AI156" s="334">
        <f t="shared" si="84"/>
        <v>144</v>
      </c>
      <c r="AJ156" s="335">
        <f t="shared" si="85"/>
        <v>227.1751863850151</v>
      </c>
      <c r="AK156" s="335"/>
      <c r="AL156" s="335">
        <f t="shared" si="86"/>
        <v>165.4427549334843</v>
      </c>
      <c r="AM156" s="335">
        <f t="shared" si="92"/>
        <v>61.7324314515308</v>
      </c>
      <c r="AN156" s="360">
        <f t="shared" si="87"/>
        <v>19791.398160566587</v>
      </c>
    </row>
    <row r="157" spans="1:40" ht="12.75">
      <c r="A157" s="359">
        <f t="shared" si="62"/>
        <v>45688</v>
      </c>
      <c r="B157" s="334">
        <f t="shared" si="63"/>
        <v>145</v>
      </c>
      <c r="C157" s="335">
        <f t="shared" si="64"/>
        <v>227.1751863850151</v>
      </c>
      <c r="D157" s="335"/>
      <c r="E157" s="335">
        <f t="shared" si="65"/>
        <v>164.92831800472155</v>
      </c>
      <c r="F157" s="335">
        <f t="shared" si="88"/>
        <v>62.24686838029356</v>
      </c>
      <c r="G157" s="360">
        <f t="shared" si="66"/>
        <v>19729.151292186292</v>
      </c>
      <c r="H157" s="336" t="e">
        <f t="shared" si="67"/>
        <v>#VALUE!</v>
      </c>
      <c r="I157" s="333"/>
      <c r="J157" s="359">
        <f t="shared" si="68"/>
        <v>45688</v>
      </c>
      <c r="K157" s="334">
        <f t="shared" si="69"/>
        <v>145</v>
      </c>
      <c r="L157" s="335">
        <f t="shared" si="70"/>
        <v>227.1751863850151</v>
      </c>
      <c r="M157" s="335"/>
      <c r="N157" s="335">
        <f t="shared" si="71"/>
        <v>164.92831800472155</v>
      </c>
      <c r="O157" s="335">
        <f t="shared" si="89"/>
        <v>62.24686838029356</v>
      </c>
      <c r="P157" s="360">
        <f t="shared" si="72"/>
        <v>19729.151292186292</v>
      </c>
      <c r="R157" s="359">
        <f t="shared" si="73"/>
        <v>45688</v>
      </c>
      <c r="S157" s="334">
        <f t="shared" si="74"/>
        <v>145</v>
      </c>
      <c r="T157" s="335">
        <f t="shared" si="75"/>
        <v>227.1751863850151</v>
      </c>
      <c r="U157" s="335"/>
      <c r="V157" s="335">
        <f t="shared" si="76"/>
        <v>164.92831800472155</v>
      </c>
      <c r="W157" s="335">
        <f t="shared" si="90"/>
        <v>62.24686838029356</v>
      </c>
      <c r="X157" s="360">
        <f t="shared" si="77"/>
        <v>19729.151292186292</v>
      </c>
      <c r="Z157" s="359">
        <f t="shared" si="78"/>
        <v>45688</v>
      </c>
      <c r="AA157" s="334">
        <f t="shared" si="79"/>
        <v>145</v>
      </c>
      <c r="AB157" s="335">
        <f t="shared" si="80"/>
        <v>227.1751863850151</v>
      </c>
      <c r="AC157" s="335"/>
      <c r="AD157" s="335">
        <f t="shared" si="81"/>
        <v>164.92831800472155</v>
      </c>
      <c r="AE157" s="335">
        <f t="shared" si="91"/>
        <v>62.24686838029356</v>
      </c>
      <c r="AF157" s="360">
        <f t="shared" si="82"/>
        <v>19729.151292186292</v>
      </c>
      <c r="AH157" s="359">
        <f t="shared" si="83"/>
        <v>45688</v>
      </c>
      <c r="AI157" s="334">
        <f t="shared" si="84"/>
        <v>145</v>
      </c>
      <c r="AJ157" s="335">
        <f t="shared" si="85"/>
        <v>227.1751863850151</v>
      </c>
      <c r="AK157" s="335"/>
      <c r="AL157" s="335">
        <f t="shared" si="86"/>
        <v>164.92831800472155</v>
      </c>
      <c r="AM157" s="335">
        <f t="shared" si="92"/>
        <v>62.24686838029356</v>
      </c>
      <c r="AN157" s="360">
        <f t="shared" si="87"/>
        <v>19729.151292186292</v>
      </c>
    </row>
    <row r="158" spans="1:40" ht="12.75">
      <c r="A158" s="359">
        <f t="shared" si="62"/>
        <v>45716</v>
      </c>
      <c r="B158" s="334">
        <f t="shared" si="63"/>
        <v>146</v>
      </c>
      <c r="C158" s="335">
        <f t="shared" si="64"/>
        <v>227.1751863850151</v>
      </c>
      <c r="D158" s="335"/>
      <c r="E158" s="335">
        <f t="shared" si="65"/>
        <v>164.40959410155244</v>
      </c>
      <c r="F158" s="335">
        <f t="shared" si="88"/>
        <v>62.76559228346267</v>
      </c>
      <c r="G158" s="360">
        <f t="shared" si="66"/>
        <v>19666.38569990283</v>
      </c>
      <c r="H158" s="336" t="e">
        <f t="shared" si="67"/>
        <v>#VALUE!</v>
      </c>
      <c r="I158" s="333"/>
      <c r="J158" s="359">
        <f t="shared" si="68"/>
        <v>45716</v>
      </c>
      <c r="K158" s="334">
        <f t="shared" si="69"/>
        <v>146</v>
      </c>
      <c r="L158" s="335">
        <f t="shared" si="70"/>
        <v>227.1751863850151</v>
      </c>
      <c r="M158" s="335"/>
      <c r="N158" s="335">
        <f t="shared" si="71"/>
        <v>164.40959410155244</v>
      </c>
      <c r="O158" s="335">
        <f t="shared" si="89"/>
        <v>62.76559228346267</v>
      </c>
      <c r="P158" s="360">
        <f t="shared" si="72"/>
        <v>19666.38569990283</v>
      </c>
      <c r="R158" s="359">
        <f t="shared" si="73"/>
        <v>45716</v>
      </c>
      <c r="S158" s="334">
        <f t="shared" si="74"/>
        <v>146</v>
      </c>
      <c r="T158" s="335">
        <f t="shared" si="75"/>
        <v>227.1751863850151</v>
      </c>
      <c r="U158" s="335"/>
      <c r="V158" s="335">
        <f t="shared" si="76"/>
        <v>164.40959410155244</v>
      </c>
      <c r="W158" s="335">
        <f t="shared" si="90"/>
        <v>62.76559228346267</v>
      </c>
      <c r="X158" s="360">
        <f t="shared" si="77"/>
        <v>19666.38569990283</v>
      </c>
      <c r="Z158" s="359">
        <f t="shared" si="78"/>
        <v>45716</v>
      </c>
      <c r="AA158" s="334">
        <f t="shared" si="79"/>
        <v>146</v>
      </c>
      <c r="AB158" s="335">
        <f t="shared" si="80"/>
        <v>227.1751863850151</v>
      </c>
      <c r="AC158" s="335"/>
      <c r="AD158" s="335">
        <f t="shared" si="81"/>
        <v>164.40959410155244</v>
      </c>
      <c r="AE158" s="335">
        <f t="shared" si="91"/>
        <v>62.76559228346267</v>
      </c>
      <c r="AF158" s="360">
        <f t="shared" si="82"/>
        <v>19666.38569990283</v>
      </c>
      <c r="AH158" s="359">
        <f t="shared" si="83"/>
        <v>45716</v>
      </c>
      <c r="AI158" s="334">
        <f t="shared" si="84"/>
        <v>146</v>
      </c>
      <c r="AJ158" s="335">
        <f t="shared" si="85"/>
        <v>227.1751863850151</v>
      </c>
      <c r="AK158" s="335"/>
      <c r="AL158" s="335">
        <f t="shared" si="86"/>
        <v>164.40959410155244</v>
      </c>
      <c r="AM158" s="335">
        <f t="shared" si="92"/>
        <v>62.76559228346267</v>
      </c>
      <c r="AN158" s="360">
        <f t="shared" si="87"/>
        <v>19666.38569990283</v>
      </c>
    </row>
    <row r="159" spans="1:40" ht="12.75">
      <c r="A159" s="359">
        <f t="shared" si="62"/>
        <v>45747</v>
      </c>
      <c r="B159" s="334">
        <f t="shared" si="63"/>
        <v>147</v>
      </c>
      <c r="C159" s="335">
        <f t="shared" si="64"/>
        <v>227.1751863850151</v>
      </c>
      <c r="D159" s="335"/>
      <c r="E159" s="335">
        <f t="shared" si="65"/>
        <v>163.88654749919024</v>
      </c>
      <c r="F159" s="335">
        <f t="shared" si="88"/>
        <v>63.28863888582487</v>
      </c>
      <c r="G159" s="360">
        <f t="shared" si="66"/>
        <v>19603.097061017004</v>
      </c>
      <c r="H159" s="336" t="e">
        <f t="shared" si="67"/>
        <v>#VALUE!</v>
      </c>
      <c r="I159" s="333"/>
      <c r="J159" s="359">
        <f t="shared" si="68"/>
        <v>45747</v>
      </c>
      <c r="K159" s="334">
        <f t="shared" si="69"/>
        <v>147</v>
      </c>
      <c r="L159" s="335">
        <f t="shared" si="70"/>
        <v>227.1751863850151</v>
      </c>
      <c r="M159" s="335"/>
      <c r="N159" s="335">
        <f t="shared" si="71"/>
        <v>163.88654749919024</v>
      </c>
      <c r="O159" s="335">
        <f t="shared" si="89"/>
        <v>63.28863888582487</v>
      </c>
      <c r="P159" s="360">
        <f t="shared" si="72"/>
        <v>19603.097061017004</v>
      </c>
      <c r="R159" s="359">
        <f t="shared" si="73"/>
        <v>45747</v>
      </c>
      <c r="S159" s="334">
        <f t="shared" si="74"/>
        <v>147</v>
      </c>
      <c r="T159" s="335">
        <f t="shared" si="75"/>
        <v>227.1751863850151</v>
      </c>
      <c r="U159" s="335"/>
      <c r="V159" s="335">
        <f t="shared" si="76"/>
        <v>163.88654749919024</v>
      </c>
      <c r="W159" s="335">
        <f t="shared" si="90"/>
        <v>63.28863888582487</v>
      </c>
      <c r="X159" s="360">
        <f t="shared" si="77"/>
        <v>19603.097061017004</v>
      </c>
      <c r="Z159" s="359">
        <f t="shared" si="78"/>
        <v>45747</v>
      </c>
      <c r="AA159" s="334">
        <f t="shared" si="79"/>
        <v>147</v>
      </c>
      <c r="AB159" s="335">
        <f t="shared" si="80"/>
        <v>227.1751863850151</v>
      </c>
      <c r="AC159" s="335"/>
      <c r="AD159" s="335">
        <f t="shared" si="81"/>
        <v>163.88654749919024</v>
      </c>
      <c r="AE159" s="335">
        <f t="shared" si="91"/>
        <v>63.28863888582487</v>
      </c>
      <c r="AF159" s="360">
        <f t="shared" si="82"/>
        <v>19603.097061017004</v>
      </c>
      <c r="AH159" s="359">
        <f t="shared" si="83"/>
        <v>45747</v>
      </c>
      <c r="AI159" s="334">
        <f t="shared" si="84"/>
        <v>147</v>
      </c>
      <c r="AJ159" s="335">
        <f t="shared" si="85"/>
        <v>227.1751863850151</v>
      </c>
      <c r="AK159" s="335"/>
      <c r="AL159" s="335">
        <f t="shared" si="86"/>
        <v>163.88654749919024</v>
      </c>
      <c r="AM159" s="335">
        <f t="shared" si="92"/>
        <v>63.28863888582487</v>
      </c>
      <c r="AN159" s="360">
        <f t="shared" si="87"/>
        <v>19603.097061017004</v>
      </c>
    </row>
    <row r="160" spans="1:40" ht="12.75">
      <c r="A160" s="359">
        <f t="shared" si="62"/>
        <v>45777</v>
      </c>
      <c r="B160" s="334">
        <f t="shared" si="63"/>
        <v>148</v>
      </c>
      <c r="C160" s="335">
        <f t="shared" si="64"/>
        <v>227.1751863850151</v>
      </c>
      <c r="D160" s="335"/>
      <c r="E160" s="335">
        <f t="shared" si="65"/>
        <v>163.3591421751417</v>
      </c>
      <c r="F160" s="335">
        <f t="shared" si="88"/>
        <v>63.81604420987341</v>
      </c>
      <c r="G160" s="360">
        <f t="shared" si="66"/>
        <v>19539.28101680713</v>
      </c>
      <c r="H160" s="336" t="e">
        <f t="shared" si="67"/>
        <v>#VALUE!</v>
      </c>
      <c r="I160" s="333"/>
      <c r="J160" s="359">
        <f t="shared" si="68"/>
        <v>45777</v>
      </c>
      <c r="K160" s="334">
        <f t="shared" si="69"/>
        <v>148</v>
      </c>
      <c r="L160" s="335">
        <f t="shared" si="70"/>
        <v>227.1751863850151</v>
      </c>
      <c r="M160" s="335"/>
      <c r="N160" s="335">
        <f t="shared" si="71"/>
        <v>163.3591421751417</v>
      </c>
      <c r="O160" s="335">
        <f t="shared" si="89"/>
        <v>63.81604420987341</v>
      </c>
      <c r="P160" s="360">
        <f t="shared" si="72"/>
        <v>19539.28101680713</v>
      </c>
      <c r="R160" s="359">
        <f t="shared" si="73"/>
        <v>45777</v>
      </c>
      <c r="S160" s="334">
        <f t="shared" si="74"/>
        <v>148</v>
      </c>
      <c r="T160" s="335">
        <f t="shared" si="75"/>
        <v>227.1751863850151</v>
      </c>
      <c r="U160" s="335"/>
      <c r="V160" s="335">
        <f t="shared" si="76"/>
        <v>163.3591421751417</v>
      </c>
      <c r="W160" s="335">
        <f t="shared" si="90"/>
        <v>63.81604420987341</v>
      </c>
      <c r="X160" s="360">
        <f t="shared" si="77"/>
        <v>19539.28101680713</v>
      </c>
      <c r="Z160" s="359">
        <f t="shared" si="78"/>
        <v>45777</v>
      </c>
      <c r="AA160" s="334">
        <f t="shared" si="79"/>
        <v>148</v>
      </c>
      <c r="AB160" s="335">
        <f t="shared" si="80"/>
        <v>227.1751863850151</v>
      </c>
      <c r="AC160" s="335"/>
      <c r="AD160" s="335">
        <f t="shared" si="81"/>
        <v>163.3591421751417</v>
      </c>
      <c r="AE160" s="335">
        <f t="shared" si="91"/>
        <v>63.81604420987341</v>
      </c>
      <c r="AF160" s="360">
        <f t="shared" si="82"/>
        <v>19539.28101680713</v>
      </c>
      <c r="AH160" s="359">
        <f t="shared" si="83"/>
        <v>45777</v>
      </c>
      <c r="AI160" s="334">
        <f t="shared" si="84"/>
        <v>148</v>
      </c>
      <c r="AJ160" s="335">
        <f t="shared" si="85"/>
        <v>227.1751863850151</v>
      </c>
      <c r="AK160" s="335"/>
      <c r="AL160" s="335">
        <f t="shared" si="86"/>
        <v>163.3591421751417</v>
      </c>
      <c r="AM160" s="335">
        <f t="shared" si="92"/>
        <v>63.81604420987341</v>
      </c>
      <c r="AN160" s="360">
        <f t="shared" si="87"/>
        <v>19539.28101680713</v>
      </c>
    </row>
    <row r="161" spans="1:40" ht="12.75">
      <c r="A161" s="359">
        <f t="shared" si="62"/>
        <v>45808</v>
      </c>
      <c r="B161" s="334">
        <f t="shared" si="63"/>
        <v>149</v>
      </c>
      <c r="C161" s="335">
        <f t="shared" si="64"/>
        <v>227.1751863850151</v>
      </c>
      <c r="D161" s="335"/>
      <c r="E161" s="335">
        <f t="shared" si="65"/>
        <v>162.82734180672608</v>
      </c>
      <c r="F161" s="335">
        <f t="shared" si="88"/>
        <v>64.34784457828903</v>
      </c>
      <c r="G161" s="360">
        <f t="shared" si="66"/>
        <v>19474.93317222884</v>
      </c>
      <c r="H161" s="336" t="e">
        <f t="shared" si="67"/>
        <v>#VALUE!</v>
      </c>
      <c r="I161" s="333"/>
      <c r="J161" s="359">
        <f t="shared" si="68"/>
        <v>45808</v>
      </c>
      <c r="K161" s="334">
        <f t="shared" si="69"/>
        <v>149</v>
      </c>
      <c r="L161" s="335">
        <f t="shared" si="70"/>
        <v>227.1751863850151</v>
      </c>
      <c r="M161" s="335"/>
      <c r="N161" s="335">
        <f t="shared" si="71"/>
        <v>162.82734180672608</v>
      </c>
      <c r="O161" s="335">
        <f t="shared" si="89"/>
        <v>64.34784457828903</v>
      </c>
      <c r="P161" s="360">
        <f t="shared" si="72"/>
        <v>19474.93317222884</v>
      </c>
      <c r="R161" s="359">
        <f t="shared" si="73"/>
        <v>45808</v>
      </c>
      <c r="S161" s="334">
        <f t="shared" si="74"/>
        <v>149</v>
      </c>
      <c r="T161" s="335">
        <f t="shared" si="75"/>
        <v>227.1751863850151</v>
      </c>
      <c r="U161" s="335"/>
      <c r="V161" s="335">
        <f t="shared" si="76"/>
        <v>162.82734180672608</v>
      </c>
      <c r="W161" s="335">
        <f t="shared" si="90"/>
        <v>64.34784457828903</v>
      </c>
      <c r="X161" s="360">
        <f t="shared" si="77"/>
        <v>19474.93317222884</v>
      </c>
      <c r="Z161" s="359">
        <f t="shared" si="78"/>
        <v>45808</v>
      </c>
      <c r="AA161" s="334">
        <f t="shared" si="79"/>
        <v>149</v>
      </c>
      <c r="AB161" s="335">
        <f t="shared" si="80"/>
        <v>227.1751863850151</v>
      </c>
      <c r="AC161" s="335"/>
      <c r="AD161" s="335">
        <f t="shared" si="81"/>
        <v>162.82734180672608</v>
      </c>
      <c r="AE161" s="335">
        <f t="shared" si="91"/>
        <v>64.34784457828903</v>
      </c>
      <c r="AF161" s="360">
        <f t="shared" si="82"/>
        <v>19474.93317222884</v>
      </c>
      <c r="AH161" s="359">
        <f t="shared" si="83"/>
        <v>45808</v>
      </c>
      <c r="AI161" s="334">
        <f t="shared" si="84"/>
        <v>149</v>
      </c>
      <c r="AJ161" s="335">
        <f t="shared" si="85"/>
        <v>227.1751863850151</v>
      </c>
      <c r="AK161" s="335"/>
      <c r="AL161" s="335">
        <f t="shared" si="86"/>
        <v>162.82734180672608</v>
      </c>
      <c r="AM161" s="335">
        <f t="shared" si="92"/>
        <v>64.34784457828903</v>
      </c>
      <c r="AN161" s="360">
        <f t="shared" si="87"/>
        <v>19474.93317222884</v>
      </c>
    </row>
    <row r="162" spans="1:40" ht="12.75">
      <c r="A162" s="359">
        <f t="shared" si="62"/>
        <v>45838</v>
      </c>
      <c r="B162" s="334">
        <f t="shared" si="63"/>
        <v>150</v>
      </c>
      <c r="C162" s="335">
        <f t="shared" si="64"/>
        <v>227.1751863850151</v>
      </c>
      <c r="D162" s="335"/>
      <c r="E162" s="335">
        <f t="shared" si="65"/>
        <v>162.29110976857368</v>
      </c>
      <c r="F162" s="335">
        <f t="shared" si="88"/>
        <v>64.88407661644143</v>
      </c>
      <c r="G162" s="360">
        <f t="shared" si="66"/>
        <v>19410.049095612398</v>
      </c>
      <c r="H162" s="336" t="e">
        <f t="shared" si="67"/>
        <v>#VALUE!</v>
      </c>
      <c r="I162" s="333"/>
      <c r="J162" s="359">
        <f t="shared" si="68"/>
        <v>45838</v>
      </c>
      <c r="K162" s="334">
        <f t="shared" si="69"/>
        <v>150</v>
      </c>
      <c r="L162" s="335">
        <f t="shared" si="70"/>
        <v>227.1751863850151</v>
      </c>
      <c r="M162" s="335"/>
      <c r="N162" s="335">
        <f t="shared" si="71"/>
        <v>162.29110976857368</v>
      </c>
      <c r="O162" s="335">
        <f t="shared" si="89"/>
        <v>64.88407661644143</v>
      </c>
      <c r="P162" s="360">
        <f t="shared" si="72"/>
        <v>19410.049095612398</v>
      </c>
      <c r="R162" s="359">
        <f t="shared" si="73"/>
        <v>45838</v>
      </c>
      <c r="S162" s="334">
        <f t="shared" si="74"/>
        <v>150</v>
      </c>
      <c r="T162" s="335">
        <f t="shared" si="75"/>
        <v>227.1751863850151</v>
      </c>
      <c r="U162" s="335"/>
      <c r="V162" s="335">
        <f t="shared" si="76"/>
        <v>162.29110976857368</v>
      </c>
      <c r="W162" s="335">
        <f t="shared" si="90"/>
        <v>64.88407661644143</v>
      </c>
      <c r="X162" s="360">
        <f t="shared" si="77"/>
        <v>19410.049095612398</v>
      </c>
      <c r="Z162" s="359">
        <f t="shared" si="78"/>
        <v>45838</v>
      </c>
      <c r="AA162" s="334">
        <f t="shared" si="79"/>
        <v>150</v>
      </c>
      <c r="AB162" s="335">
        <f t="shared" si="80"/>
        <v>227.1751863850151</v>
      </c>
      <c r="AC162" s="335"/>
      <c r="AD162" s="335">
        <f t="shared" si="81"/>
        <v>162.29110976857368</v>
      </c>
      <c r="AE162" s="335">
        <f t="shared" si="91"/>
        <v>64.88407661644143</v>
      </c>
      <c r="AF162" s="360">
        <f t="shared" si="82"/>
        <v>19410.049095612398</v>
      </c>
      <c r="AH162" s="359">
        <f t="shared" si="83"/>
        <v>45838</v>
      </c>
      <c r="AI162" s="334">
        <f t="shared" si="84"/>
        <v>150</v>
      </c>
      <c r="AJ162" s="335">
        <f t="shared" si="85"/>
        <v>227.1751863850151</v>
      </c>
      <c r="AK162" s="335"/>
      <c r="AL162" s="335">
        <f t="shared" si="86"/>
        <v>162.29110976857368</v>
      </c>
      <c r="AM162" s="335">
        <f t="shared" si="92"/>
        <v>64.88407661644143</v>
      </c>
      <c r="AN162" s="360">
        <f t="shared" si="87"/>
        <v>19410.049095612398</v>
      </c>
    </row>
    <row r="163" spans="1:40" ht="12.75">
      <c r="A163" s="359">
        <f t="shared" si="62"/>
        <v>45869</v>
      </c>
      <c r="B163" s="334">
        <f t="shared" si="63"/>
        <v>151</v>
      </c>
      <c r="C163" s="335">
        <f t="shared" si="64"/>
        <v>227.1751863850151</v>
      </c>
      <c r="D163" s="335"/>
      <c r="E163" s="335">
        <f t="shared" si="65"/>
        <v>161.75040913010332</v>
      </c>
      <c r="F163" s="335">
        <f t="shared" si="88"/>
        <v>65.42477725491179</v>
      </c>
      <c r="G163" s="360">
        <f t="shared" si="66"/>
        <v>19344.624318357484</v>
      </c>
      <c r="H163" s="336" t="e">
        <f t="shared" si="67"/>
        <v>#VALUE!</v>
      </c>
      <c r="I163" s="333"/>
      <c r="J163" s="359">
        <f t="shared" si="68"/>
        <v>45869</v>
      </c>
      <c r="K163" s="334">
        <f t="shared" si="69"/>
        <v>151</v>
      </c>
      <c r="L163" s="335">
        <f t="shared" si="70"/>
        <v>227.1751863850151</v>
      </c>
      <c r="M163" s="335"/>
      <c r="N163" s="335">
        <f t="shared" si="71"/>
        <v>161.75040913010332</v>
      </c>
      <c r="O163" s="335">
        <f t="shared" si="89"/>
        <v>65.42477725491179</v>
      </c>
      <c r="P163" s="360">
        <f t="shared" si="72"/>
        <v>19344.624318357484</v>
      </c>
      <c r="R163" s="359">
        <f t="shared" si="73"/>
        <v>45869</v>
      </c>
      <c r="S163" s="334">
        <f t="shared" si="74"/>
        <v>151</v>
      </c>
      <c r="T163" s="335">
        <f t="shared" si="75"/>
        <v>227.1751863850151</v>
      </c>
      <c r="U163" s="335"/>
      <c r="V163" s="335">
        <f t="shared" si="76"/>
        <v>161.75040913010332</v>
      </c>
      <c r="W163" s="335">
        <f t="shared" si="90"/>
        <v>65.42477725491179</v>
      </c>
      <c r="X163" s="360">
        <f t="shared" si="77"/>
        <v>19344.624318357484</v>
      </c>
      <c r="Z163" s="359">
        <f t="shared" si="78"/>
        <v>45869</v>
      </c>
      <c r="AA163" s="334">
        <f t="shared" si="79"/>
        <v>151</v>
      </c>
      <c r="AB163" s="335">
        <f t="shared" si="80"/>
        <v>227.1751863850151</v>
      </c>
      <c r="AC163" s="335"/>
      <c r="AD163" s="335">
        <f t="shared" si="81"/>
        <v>161.75040913010332</v>
      </c>
      <c r="AE163" s="335">
        <f t="shared" si="91"/>
        <v>65.42477725491179</v>
      </c>
      <c r="AF163" s="360">
        <f t="shared" si="82"/>
        <v>19344.624318357484</v>
      </c>
      <c r="AH163" s="359">
        <f t="shared" si="83"/>
        <v>45869</v>
      </c>
      <c r="AI163" s="334">
        <f t="shared" si="84"/>
        <v>151</v>
      </c>
      <c r="AJ163" s="335">
        <f t="shared" si="85"/>
        <v>227.1751863850151</v>
      </c>
      <c r="AK163" s="335"/>
      <c r="AL163" s="335">
        <f t="shared" si="86"/>
        <v>161.75040913010332</v>
      </c>
      <c r="AM163" s="335">
        <f t="shared" si="92"/>
        <v>65.42477725491179</v>
      </c>
      <c r="AN163" s="360">
        <f t="shared" si="87"/>
        <v>19344.624318357484</v>
      </c>
    </row>
    <row r="164" spans="1:40" ht="12.75">
      <c r="A164" s="359">
        <f t="shared" si="62"/>
        <v>45900</v>
      </c>
      <c r="B164" s="334">
        <f t="shared" si="63"/>
        <v>152</v>
      </c>
      <c r="C164" s="335">
        <f t="shared" si="64"/>
        <v>227.1751863850151</v>
      </c>
      <c r="D164" s="335"/>
      <c r="E164" s="335">
        <f t="shared" si="65"/>
        <v>161.20520265297904</v>
      </c>
      <c r="F164" s="335">
        <f t="shared" si="88"/>
        <v>65.96998373203607</v>
      </c>
      <c r="G164" s="360">
        <f t="shared" si="66"/>
        <v>19278.654334625448</v>
      </c>
      <c r="H164" s="336" t="e">
        <f t="shared" si="67"/>
        <v>#VALUE!</v>
      </c>
      <c r="I164" s="333"/>
      <c r="J164" s="359">
        <f t="shared" si="68"/>
        <v>45900</v>
      </c>
      <c r="K164" s="334">
        <f t="shared" si="69"/>
        <v>152</v>
      </c>
      <c r="L164" s="335">
        <f t="shared" si="70"/>
        <v>227.1751863850151</v>
      </c>
      <c r="M164" s="335"/>
      <c r="N164" s="335">
        <f t="shared" si="71"/>
        <v>161.20520265297904</v>
      </c>
      <c r="O164" s="335">
        <f t="shared" si="89"/>
        <v>65.96998373203607</v>
      </c>
      <c r="P164" s="360">
        <f t="shared" si="72"/>
        <v>19278.654334625448</v>
      </c>
      <c r="R164" s="359">
        <f t="shared" si="73"/>
        <v>45900</v>
      </c>
      <c r="S164" s="334">
        <f t="shared" si="74"/>
        <v>152</v>
      </c>
      <c r="T164" s="335">
        <f t="shared" si="75"/>
        <v>227.1751863850151</v>
      </c>
      <c r="U164" s="335"/>
      <c r="V164" s="335">
        <f t="shared" si="76"/>
        <v>161.20520265297904</v>
      </c>
      <c r="W164" s="335">
        <f t="shared" si="90"/>
        <v>65.96998373203607</v>
      </c>
      <c r="X164" s="360">
        <f t="shared" si="77"/>
        <v>19278.654334625448</v>
      </c>
      <c r="Z164" s="359">
        <f t="shared" si="78"/>
        <v>45900</v>
      </c>
      <c r="AA164" s="334">
        <f t="shared" si="79"/>
        <v>152</v>
      </c>
      <c r="AB164" s="335">
        <f t="shared" si="80"/>
        <v>227.1751863850151</v>
      </c>
      <c r="AC164" s="335"/>
      <c r="AD164" s="335">
        <f t="shared" si="81"/>
        <v>161.20520265297904</v>
      </c>
      <c r="AE164" s="335">
        <f t="shared" si="91"/>
        <v>65.96998373203607</v>
      </c>
      <c r="AF164" s="360">
        <f t="shared" si="82"/>
        <v>19278.654334625448</v>
      </c>
      <c r="AH164" s="359">
        <f t="shared" si="83"/>
        <v>45900</v>
      </c>
      <c r="AI164" s="334">
        <f t="shared" si="84"/>
        <v>152</v>
      </c>
      <c r="AJ164" s="335">
        <f t="shared" si="85"/>
        <v>227.1751863850151</v>
      </c>
      <c r="AK164" s="335"/>
      <c r="AL164" s="335">
        <f t="shared" si="86"/>
        <v>161.20520265297904</v>
      </c>
      <c r="AM164" s="335">
        <f t="shared" si="92"/>
        <v>65.96998373203607</v>
      </c>
      <c r="AN164" s="360">
        <f t="shared" si="87"/>
        <v>19278.654334625448</v>
      </c>
    </row>
    <row r="165" spans="1:40" ht="12.75">
      <c r="A165" s="359">
        <f t="shared" si="62"/>
        <v>45930</v>
      </c>
      <c r="B165" s="334">
        <f t="shared" si="63"/>
        <v>153</v>
      </c>
      <c r="C165" s="335">
        <f t="shared" si="64"/>
        <v>227.1751863850151</v>
      </c>
      <c r="D165" s="335"/>
      <c r="E165" s="335">
        <f t="shared" si="65"/>
        <v>160.6554527885454</v>
      </c>
      <c r="F165" s="335">
        <f t="shared" si="88"/>
        <v>66.5197335964697</v>
      </c>
      <c r="G165" s="360">
        <f t="shared" si="66"/>
        <v>19212.134601028978</v>
      </c>
      <c r="H165" s="336" t="e">
        <f t="shared" si="67"/>
        <v>#VALUE!</v>
      </c>
      <c r="I165" s="333"/>
      <c r="J165" s="359">
        <f t="shared" si="68"/>
        <v>45930</v>
      </c>
      <c r="K165" s="334">
        <f t="shared" si="69"/>
        <v>153</v>
      </c>
      <c r="L165" s="335">
        <f t="shared" si="70"/>
        <v>227.1751863850151</v>
      </c>
      <c r="M165" s="335"/>
      <c r="N165" s="335">
        <f t="shared" si="71"/>
        <v>160.6554527885454</v>
      </c>
      <c r="O165" s="335">
        <f t="shared" si="89"/>
        <v>66.5197335964697</v>
      </c>
      <c r="P165" s="360">
        <f t="shared" si="72"/>
        <v>19212.134601028978</v>
      </c>
      <c r="R165" s="359">
        <f t="shared" si="73"/>
        <v>45930</v>
      </c>
      <c r="S165" s="334">
        <f t="shared" si="74"/>
        <v>153</v>
      </c>
      <c r="T165" s="335">
        <f t="shared" si="75"/>
        <v>227.1751863850151</v>
      </c>
      <c r="U165" s="335"/>
      <c r="V165" s="335">
        <f t="shared" si="76"/>
        <v>160.6554527885454</v>
      </c>
      <c r="W165" s="335">
        <f t="shared" si="90"/>
        <v>66.5197335964697</v>
      </c>
      <c r="X165" s="360">
        <f t="shared" si="77"/>
        <v>19212.134601028978</v>
      </c>
      <c r="Z165" s="359">
        <f t="shared" si="78"/>
        <v>45930</v>
      </c>
      <c r="AA165" s="334">
        <f t="shared" si="79"/>
        <v>153</v>
      </c>
      <c r="AB165" s="335">
        <f t="shared" si="80"/>
        <v>227.1751863850151</v>
      </c>
      <c r="AC165" s="335"/>
      <c r="AD165" s="335">
        <f t="shared" si="81"/>
        <v>160.6554527885454</v>
      </c>
      <c r="AE165" s="335">
        <f t="shared" si="91"/>
        <v>66.5197335964697</v>
      </c>
      <c r="AF165" s="360">
        <f t="shared" si="82"/>
        <v>19212.134601028978</v>
      </c>
      <c r="AH165" s="359">
        <f t="shared" si="83"/>
        <v>45930</v>
      </c>
      <c r="AI165" s="334">
        <f t="shared" si="84"/>
        <v>153</v>
      </c>
      <c r="AJ165" s="335">
        <f t="shared" si="85"/>
        <v>227.1751863850151</v>
      </c>
      <c r="AK165" s="335"/>
      <c r="AL165" s="335">
        <f t="shared" si="86"/>
        <v>160.6554527885454</v>
      </c>
      <c r="AM165" s="335">
        <f t="shared" si="92"/>
        <v>66.5197335964697</v>
      </c>
      <c r="AN165" s="360">
        <f t="shared" si="87"/>
        <v>19212.134601028978</v>
      </c>
    </row>
    <row r="166" spans="1:40" ht="12.75">
      <c r="A166" s="359">
        <f t="shared" si="62"/>
        <v>45961</v>
      </c>
      <c r="B166" s="334">
        <f t="shared" si="63"/>
        <v>154</v>
      </c>
      <c r="C166" s="335">
        <f t="shared" si="64"/>
        <v>227.1751863850151</v>
      </c>
      <c r="D166" s="335"/>
      <c r="E166" s="335">
        <f t="shared" si="65"/>
        <v>160.10112167524147</v>
      </c>
      <c r="F166" s="335">
        <f t="shared" si="88"/>
        <v>67.07406470977364</v>
      </c>
      <c r="G166" s="360">
        <f t="shared" si="66"/>
        <v>19145.060536319204</v>
      </c>
      <c r="H166" s="336" t="e">
        <f t="shared" si="67"/>
        <v>#VALUE!</v>
      </c>
      <c r="I166" s="333"/>
      <c r="J166" s="359">
        <f t="shared" si="68"/>
        <v>45961</v>
      </c>
      <c r="K166" s="334">
        <f t="shared" si="69"/>
        <v>154</v>
      </c>
      <c r="L166" s="335">
        <f t="shared" si="70"/>
        <v>227.1751863850151</v>
      </c>
      <c r="M166" s="335"/>
      <c r="N166" s="335">
        <f t="shared" si="71"/>
        <v>160.10112167524147</v>
      </c>
      <c r="O166" s="335">
        <f t="shared" si="89"/>
        <v>67.07406470977364</v>
      </c>
      <c r="P166" s="360">
        <f t="shared" si="72"/>
        <v>19145.060536319204</v>
      </c>
      <c r="R166" s="359">
        <f t="shared" si="73"/>
        <v>45961</v>
      </c>
      <c r="S166" s="334">
        <f t="shared" si="74"/>
        <v>154</v>
      </c>
      <c r="T166" s="335">
        <f t="shared" si="75"/>
        <v>227.1751863850151</v>
      </c>
      <c r="U166" s="335"/>
      <c r="V166" s="335">
        <f t="shared" si="76"/>
        <v>160.10112167524147</v>
      </c>
      <c r="W166" s="335">
        <f t="shared" si="90"/>
        <v>67.07406470977364</v>
      </c>
      <c r="X166" s="360">
        <f t="shared" si="77"/>
        <v>19145.060536319204</v>
      </c>
      <c r="Z166" s="359">
        <f t="shared" si="78"/>
        <v>45961</v>
      </c>
      <c r="AA166" s="334">
        <f t="shared" si="79"/>
        <v>154</v>
      </c>
      <c r="AB166" s="335">
        <f t="shared" si="80"/>
        <v>227.1751863850151</v>
      </c>
      <c r="AC166" s="335"/>
      <c r="AD166" s="335">
        <f t="shared" si="81"/>
        <v>160.10112167524147</v>
      </c>
      <c r="AE166" s="335">
        <f t="shared" si="91"/>
        <v>67.07406470977364</v>
      </c>
      <c r="AF166" s="360">
        <f t="shared" si="82"/>
        <v>19145.060536319204</v>
      </c>
      <c r="AH166" s="359">
        <f t="shared" si="83"/>
        <v>45961</v>
      </c>
      <c r="AI166" s="334">
        <f t="shared" si="84"/>
        <v>154</v>
      </c>
      <c r="AJ166" s="335">
        <f t="shared" si="85"/>
        <v>227.1751863850151</v>
      </c>
      <c r="AK166" s="335"/>
      <c r="AL166" s="335">
        <f t="shared" si="86"/>
        <v>160.10112167524147</v>
      </c>
      <c r="AM166" s="335">
        <f t="shared" si="92"/>
        <v>67.07406470977364</v>
      </c>
      <c r="AN166" s="360">
        <f t="shared" si="87"/>
        <v>19145.060536319204</v>
      </c>
    </row>
    <row r="167" spans="1:40" ht="12.75">
      <c r="A167" s="359">
        <f t="shared" si="62"/>
        <v>45991</v>
      </c>
      <c r="B167" s="334">
        <f t="shared" si="63"/>
        <v>155</v>
      </c>
      <c r="C167" s="335">
        <f t="shared" si="64"/>
        <v>227.1751863850151</v>
      </c>
      <c r="D167" s="335"/>
      <c r="E167" s="335">
        <f t="shared" si="65"/>
        <v>159.54217113599336</v>
      </c>
      <c r="F167" s="335">
        <f t="shared" si="88"/>
        <v>67.63301524902175</v>
      </c>
      <c r="G167" s="360">
        <f t="shared" si="66"/>
        <v>19077.42752107018</v>
      </c>
      <c r="H167" s="336" t="e">
        <f t="shared" si="67"/>
        <v>#VALUE!</v>
      </c>
      <c r="I167" s="333"/>
      <c r="J167" s="359">
        <f t="shared" si="68"/>
        <v>45991</v>
      </c>
      <c r="K167" s="334">
        <f t="shared" si="69"/>
        <v>155</v>
      </c>
      <c r="L167" s="335">
        <f t="shared" si="70"/>
        <v>227.1751863850151</v>
      </c>
      <c r="M167" s="335"/>
      <c r="N167" s="335">
        <f t="shared" si="71"/>
        <v>159.54217113599336</v>
      </c>
      <c r="O167" s="335">
        <f t="shared" si="89"/>
        <v>67.63301524902175</v>
      </c>
      <c r="P167" s="360">
        <f t="shared" si="72"/>
        <v>19077.42752107018</v>
      </c>
      <c r="R167" s="359">
        <f t="shared" si="73"/>
        <v>45991</v>
      </c>
      <c r="S167" s="334">
        <f t="shared" si="74"/>
        <v>155</v>
      </c>
      <c r="T167" s="335">
        <f t="shared" si="75"/>
        <v>227.1751863850151</v>
      </c>
      <c r="U167" s="335"/>
      <c r="V167" s="335">
        <f t="shared" si="76"/>
        <v>159.54217113599336</v>
      </c>
      <c r="W167" s="335">
        <f t="shared" si="90"/>
        <v>67.63301524902175</v>
      </c>
      <c r="X167" s="360">
        <f t="shared" si="77"/>
        <v>19077.42752107018</v>
      </c>
      <c r="Z167" s="359">
        <f t="shared" si="78"/>
        <v>45991</v>
      </c>
      <c r="AA167" s="334">
        <f t="shared" si="79"/>
        <v>155</v>
      </c>
      <c r="AB167" s="335">
        <f t="shared" si="80"/>
        <v>227.1751863850151</v>
      </c>
      <c r="AC167" s="335"/>
      <c r="AD167" s="335">
        <f t="shared" si="81"/>
        <v>159.54217113599336</v>
      </c>
      <c r="AE167" s="335">
        <f t="shared" si="91"/>
        <v>67.63301524902175</v>
      </c>
      <c r="AF167" s="360">
        <f t="shared" si="82"/>
        <v>19077.42752107018</v>
      </c>
      <c r="AH167" s="359">
        <f t="shared" si="83"/>
        <v>45991</v>
      </c>
      <c r="AI167" s="334">
        <f t="shared" si="84"/>
        <v>155</v>
      </c>
      <c r="AJ167" s="335">
        <f t="shared" si="85"/>
        <v>227.1751863850151</v>
      </c>
      <c r="AK167" s="335"/>
      <c r="AL167" s="335">
        <f t="shared" si="86"/>
        <v>159.54217113599336</v>
      </c>
      <c r="AM167" s="335">
        <f t="shared" si="92"/>
        <v>67.63301524902175</v>
      </c>
      <c r="AN167" s="360">
        <f t="shared" si="87"/>
        <v>19077.42752107018</v>
      </c>
    </row>
    <row r="168" spans="1:40" ht="12.75">
      <c r="A168" s="359">
        <f t="shared" si="62"/>
        <v>46022</v>
      </c>
      <c r="B168" s="334">
        <f t="shared" si="63"/>
        <v>156</v>
      </c>
      <c r="C168" s="335">
        <f t="shared" si="64"/>
        <v>227.1751863850151</v>
      </c>
      <c r="D168" s="335"/>
      <c r="E168" s="335">
        <f t="shared" si="65"/>
        <v>158.97856267558484</v>
      </c>
      <c r="F168" s="335">
        <f t="shared" si="88"/>
        <v>68.19662370943027</v>
      </c>
      <c r="G168" s="360">
        <f t="shared" si="66"/>
        <v>19009.23089736075</v>
      </c>
      <c r="H168" s="336" t="e">
        <f t="shared" si="67"/>
        <v>#VALUE!</v>
      </c>
      <c r="I168" s="333"/>
      <c r="J168" s="359">
        <f t="shared" si="68"/>
        <v>46022</v>
      </c>
      <c r="K168" s="334">
        <f t="shared" si="69"/>
        <v>156</v>
      </c>
      <c r="L168" s="335">
        <f t="shared" si="70"/>
        <v>227.1751863850151</v>
      </c>
      <c r="M168" s="335"/>
      <c r="N168" s="335">
        <f t="shared" si="71"/>
        <v>158.97856267558484</v>
      </c>
      <c r="O168" s="335">
        <f t="shared" si="89"/>
        <v>68.19662370943027</v>
      </c>
      <c r="P168" s="360">
        <f t="shared" si="72"/>
        <v>19009.23089736075</v>
      </c>
      <c r="R168" s="359">
        <f t="shared" si="73"/>
        <v>46022</v>
      </c>
      <c r="S168" s="334">
        <f t="shared" si="74"/>
        <v>156</v>
      </c>
      <c r="T168" s="335">
        <f t="shared" si="75"/>
        <v>227.1751863850151</v>
      </c>
      <c r="U168" s="335"/>
      <c r="V168" s="335">
        <f t="shared" si="76"/>
        <v>158.97856267558484</v>
      </c>
      <c r="W168" s="335">
        <f t="shared" si="90"/>
        <v>68.19662370943027</v>
      </c>
      <c r="X168" s="360">
        <f t="shared" si="77"/>
        <v>19009.23089736075</v>
      </c>
      <c r="Z168" s="359">
        <f t="shared" si="78"/>
        <v>46022</v>
      </c>
      <c r="AA168" s="334">
        <f t="shared" si="79"/>
        <v>156</v>
      </c>
      <c r="AB168" s="335">
        <f t="shared" si="80"/>
        <v>227.1751863850151</v>
      </c>
      <c r="AC168" s="335"/>
      <c r="AD168" s="335">
        <f t="shared" si="81"/>
        <v>158.97856267558484</v>
      </c>
      <c r="AE168" s="335">
        <f t="shared" si="91"/>
        <v>68.19662370943027</v>
      </c>
      <c r="AF168" s="360">
        <f t="shared" si="82"/>
        <v>19009.23089736075</v>
      </c>
      <c r="AH168" s="359">
        <f t="shared" si="83"/>
        <v>46022</v>
      </c>
      <c r="AI168" s="334">
        <f t="shared" si="84"/>
        <v>156</v>
      </c>
      <c r="AJ168" s="335">
        <f t="shared" si="85"/>
        <v>227.1751863850151</v>
      </c>
      <c r="AK168" s="335"/>
      <c r="AL168" s="335">
        <f t="shared" si="86"/>
        <v>158.97856267558484</v>
      </c>
      <c r="AM168" s="335">
        <f t="shared" si="92"/>
        <v>68.19662370943027</v>
      </c>
      <c r="AN168" s="360">
        <f t="shared" si="87"/>
        <v>19009.23089736075</v>
      </c>
    </row>
    <row r="169" spans="1:40" ht="12.75">
      <c r="A169" s="359">
        <f t="shared" si="62"/>
        <v>46053</v>
      </c>
      <c r="B169" s="334">
        <f t="shared" si="63"/>
        <v>157</v>
      </c>
      <c r="C169" s="335">
        <f t="shared" si="64"/>
        <v>227.1751863850151</v>
      </c>
      <c r="D169" s="335"/>
      <c r="E169" s="335">
        <f t="shared" si="65"/>
        <v>158.41025747800626</v>
      </c>
      <c r="F169" s="335">
        <f t="shared" si="88"/>
        <v>68.76492890700885</v>
      </c>
      <c r="G169" s="360">
        <f t="shared" si="66"/>
        <v>18940.46596845374</v>
      </c>
      <c r="H169" s="336" t="e">
        <f t="shared" si="67"/>
        <v>#VALUE!</v>
      </c>
      <c r="I169" s="333"/>
      <c r="J169" s="359">
        <f t="shared" si="68"/>
        <v>46053</v>
      </c>
      <c r="K169" s="334">
        <f t="shared" si="69"/>
        <v>157</v>
      </c>
      <c r="L169" s="335">
        <f t="shared" si="70"/>
        <v>227.1751863850151</v>
      </c>
      <c r="M169" s="335"/>
      <c r="N169" s="335">
        <f t="shared" si="71"/>
        <v>158.41025747800626</v>
      </c>
      <c r="O169" s="335">
        <f t="shared" si="89"/>
        <v>68.76492890700885</v>
      </c>
      <c r="P169" s="360">
        <f t="shared" si="72"/>
        <v>18940.46596845374</v>
      </c>
      <c r="R169" s="359">
        <f t="shared" si="73"/>
        <v>46053</v>
      </c>
      <c r="S169" s="334">
        <f t="shared" si="74"/>
        <v>157</v>
      </c>
      <c r="T169" s="335">
        <f t="shared" si="75"/>
        <v>227.1751863850151</v>
      </c>
      <c r="U169" s="335"/>
      <c r="V169" s="335">
        <f t="shared" si="76"/>
        <v>158.41025747800626</v>
      </c>
      <c r="W169" s="335">
        <f t="shared" si="90"/>
        <v>68.76492890700885</v>
      </c>
      <c r="X169" s="360">
        <f t="shared" si="77"/>
        <v>18940.46596845374</v>
      </c>
      <c r="Z169" s="359">
        <f t="shared" si="78"/>
        <v>46053</v>
      </c>
      <c r="AA169" s="334">
        <f t="shared" si="79"/>
        <v>157</v>
      </c>
      <c r="AB169" s="335">
        <f t="shared" si="80"/>
        <v>227.1751863850151</v>
      </c>
      <c r="AC169" s="335"/>
      <c r="AD169" s="335">
        <f t="shared" si="81"/>
        <v>158.41025747800626</v>
      </c>
      <c r="AE169" s="335">
        <f t="shared" si="91"/>
        <v>68.76492890700885</v>
      </c>
      <c r="AF169" s="360">
        <f t="shared" si="82"/>
        <v>18940.46596845374</v>
      </c>
      <c r="AH169" s="359">
        <f t="shared" si="83"/>
        <v>46053</v>
      </c>
      <c r="AI169" s="334">
        <f t="shared" si="84"/>
        <v>157</v>
      </c>
      <c r="AJ169" s="335">
        <f t="shared" si="85"/>
        <v>227.1751863850151</v>
      </c>
      <c r="AK169" s="335"/>
      <c r="AL169" s="335">
        <f t="shared" si="86"/>
        <v>158.41025747800626</v>
      </c>
      <c r="AM169" s="335">
        <f t="shared" si="92"/>
        <v>68.76492890700885</v>
      </c>
      <c r="AN169" s="360">
        <f t="shared" si="87"/>
        <v>18940.46596845374</v>
      </c>
    </row>
    <row r="170" spans="1:40" ht="12.75">
      <c r="A170" s="359">
        <f t="shared" si="62"/>
        <v>46081</v>
      </c>
      <c r="B170" s="334">
        <f t="shared" si="63"/>
        <v>158</v>
      </c>
      <c r="C170" s="335">
        <f t="shared" si="64"/>
        <v>227.1751863850151</v>
      </c>
      <c r="D170" s="335"/>
      <c r="E170" s="335">
        <f t="shared" si="65"/>
        <v>157.83721640378116</v>
      </c>
      <c r="F170" s="335">
        <f t="shared" si="88"/>
        <v>69.33796998123395</v>
      </c>
      <c r="G170" s="360">
        <f t="shared" si="66"/>
        <v>18871.127998472508</v>
      </c>
      <c r="H170" s="336" t="e">
        <f t="shared" si="67"/>
        <v>#VALUE!</v>
      </c>
      <c r="I170" s="333"/>
      <c r="J170" s="359">
        <f t="shared" si="68"/>
        <v>46081</v>
      </c>
      <c r="K170" s="334">
        <f t="shared" si="69"/>
        <v>158</v>
      </c>
      <c r="L170" s="335">
        <f t="shared" si="70"/>
        <v>227.1751863850151</v>
      </c>
      <c r="M170" s="335"/>
      <c r="N170" s="335">
        <f t="shared" si="71"/>
        <v>157.83721640378116</v>
      </c>
      <c r="O170" s="335">
        <f t="shared" si="89"/>
        <v>69.33796998123395</v>
      </c>
      <c r="P170" s="360">
        <f t="shared" si="72"/>
        <v>18871.127998472508</v>
      </c>
      <c r="R170" s="359">
        <f t="shared" si="73"/>
        <v>46081</v>
      </c>
      <c r="S170" s="334">
        <f t="shared" si="74"/>
        <v>158</v>
      </c>
      <c r="T170" s="335">
        <f t="shared" si="75"/>
        <v>227.1751863850151</v>
      </c>
      <c r="U170" s="335"/>
      <c r="V170" s="335">
        <f t="shared" si="76"/>
        <v>157.83721640378116</v>
      </c>
      <c r="W170" s="335">
        <f t="shared" si="90"/>
        <v>69.33796998123395</v>
      </c>
      <c r="X170" s="360">
        <f t="shared" si="77"/>
        <v>18871.127998472508</v>
      </c>
      <c r="Z170" s="359">
        <f t="shared" si="78"/>
        <v>46081</v>
      </c>
      <c r="AA170" s="334">
        <f t="shared" si="79"/>
        <v>158</v>
      </c>
      <c r="AB170" s="335">
        <f t="shared" si="80"/>
        <v>227.1751863850151</v>
      </c>
      <c r="AC170" s="335"/>
      <c r="AD170" s="335">
        <f t="shared" si="81"/>
        <v>157.83721640378116</v>
      </c>
      <c r="AE170" s="335">
        <f t="shared" si="91"/>
        <v>69.33796998123395</v>
      </c>
      <c r="AF170" s="360">
        <f t="shared" si="82"/>
        <v>18871.127998472508</v>
      </c>
      <c r="AH170" s="359">
        <f t="shared" si="83"/>
        <v>46081</v>
      </c>
      <c r="AI170" s="334">
        <f t="shared" si="84"/>
        <v>158</v>
      </c>
      <c r="AJ170" s="335">
        <f t="shared" si="85"/>
        <v>227.1751863850151</v>
      </c>
      <c r="AK170" s="335"/>
      <c r="AL170" s="335">
        <f t="shared" si="86"/>
        <v>157.83721640378116</v>
      </c>
      <c r="AM170" s="335">
        <f t="shared" si="92"/>
        <v>69.33796998123395</v>
      </c>
      <c r="AN170" s="360">
        <f t="shared" si="87"/>
        <v>18871.127998472508</v>
      </c>
    </row>
    <row r="171" spans="1:40" ht="12.75">
      <c r="A171" s="359">
        <f t="shared" si="62"/>
        <v>46112</v>
      </c>
      <c r="B171" s="334">
        <f t="shared" si="63"/>
        <v>159</v>
      </c>
      <c r="C171" s="335">
        <f t="shared" si="64"/>
        <v>227.1751863850151</v>
      </c>
      <c r="D171" s="335"/>
      <c r="E171" s="335">
        <f t="shared" si="65"/>
        <v>157.2593999872709</v>
      </c>
      <c r="F171" s="335">
        <f t="shared" si="88"/>
        <v>69.9157863977442</v>
      </c>
      <c r="G171" s="360">
        <f t="shared" si="66"/>
        <v>18801.212212074763</v>
      </c>
      <c r="H171" s="336" t="e">
        <f t="shared" si="67"/>
        <v>#VALUE!</v>
      </c>
      <c r="I171" s="333"/>
      <c r="J171" s="359">
        <f t="shared" si="68"/>
        <v>46112</v>
      </c>
      <c r="K171" s="334">
        <f t="shared" si="69"/>
        <v>159</v>
      </c>
      <c r="L171" s="335">
        <f t="shared" si="70"/>
        <v>227.1751863850151</v>
      </c>
      <c r="M171" s="335"/>
      <c r="N171" s="335">
        <f t="shared" si="71"/>
        <v>157.2593999872709</v>
      </c>
      <c r="O171" s="335">
        <f t="shared" si="89"/>
        <v>69.9157863977442</v>
      </c>
      <c r="P171" s="360">
        <f t="shared" si="72"/>
        <v>18801.212212074763</v>
      </c>
      <c r="R171" s="359">
        <f t="shared" si="73"/>
        <v>46112</v>
      </c>
      <c r="S171" s="334">
        <f t="shared" si="74"/>
        <v>159</v>
      </c>
      <c r="T171" s="335">
        <f t="shared" si="75"/>
        <v>227.1751863850151</v>
      </c>
      <c r="U171" s="335"/>
      <c r="V171" s="335">
        <f t="shared" si="76"/>
        <v>157.2593999872709</v>
      </c>
      <c r="W171" s="335">
        <f t="shared" si="90"/>
        <v>69.9157863977442</v>
      </c>
      <c r="X171" s="360">
        <f t="shared" si="77"/>
        <v>18801.212212074763</v>
      </c>
      <c r="Z171" s="359">
        <f t="shared" si="78"/>
        <v>46112</v>
      </c>
      <c r="AA171" s="334">
        <f t="shared" si="79"/>
        <v>159</v>
      </c>
      <c r="AB171" s="335">
        <f t="shared" si="80"/>
        <v>227.1751863850151</v>
      </c>
      <c r="AC171" s="335"/>
      <c r="AD171" s="335">
        <f t="shared" si="81"/>
        <v>157.2593999872709</v>
      </c>
      <c r="AE171" s="335">
        <f t="shared" si="91"/>
        <v>69.9157863977442</v>
      </c>
      <c r="AF171" s="360">
        <f t="shared" si="82"/>
        <v>18801.212212074763</v>
      </c>
      <c r="AH171" s="359">
        <f t="shared" si="83"/>
        <v>46112</v>
      </c>
      <c r="AI171" s="334">
        <f t="shared" si="84"/>
        <v>159</v>
      </c>
      <c r="AJ171" s="335">
        <f t="shared" si="85"/>
        <v>227.1751863850151</v>
      </c>
      <c r="AK171" s="335"/>
      <c r="AL171" s="335">
        <f t="shared" si="86"/>
        <v>157.2593999872709</v>
      </c>
      <c r="AM171" s="335">
        <f t="shared" si="92"/>
        <v>69.9157863977442</v>
      </c>
      <c r="AN171" s="360">
        <f t="shared" si="87"/>
        <v>18801.212212074763</v>
      </c>
    </row>
    <row r="172" spans="1:40" ht="12.75">
      <c r="A172" s="359">
        <f t="shared" si="62"/>
        <v>46142</v>
      </c>
      <c r="B172" s="334">
        <f t="shared" si="63"/>
        <v>160</v>
      </c>
      <c r="C172" s="335">
        <f t="shared" si="64"/>
        <v>227.1751863850151</v>
      </c>
      <c r="D172" s="335"/>
      <c r="E172" s="335">
        <f t="shared" si="65"/>
        <v>156.67676843395634</v>
      </c>
      <c r="F172" s="335">
        <f t="shared" si="88"/>
        <v>70.49841795105877</v>
      </c>
      <c r="G172" s="360">
        <f t="shared" si="66"/>
        <v>18730.713794123705</v>
      </c>
      <c r="H172" s="336" t="e">
        <f t="shared" si="67"/>
        <v>#VALUE!</v>
      </c>
      <c r="I172" s="333"/>
      <c r="J172" s="359">
        <f t="shared" si="68"/>
        <v>46142</v>
      </c>
      <c r="K172" s="334">
        <f t="shared" si="69"/>
        <v>160</v>
      </c>
      <c r="L172" s="335">
        <f t="shared" si="70"/>
        <v>227.1751863850151</v>
      </c>
      <c r="M172" s="335"/>
      <c r="N172" s="335">
        <f t="shared" si="71"/>
        <v>156.67676843395634</v>
      </c>
      <c r="O172" s="335">
        <f t="shared" si="89"/>
        <v>70.49841795105877</v>
      </c>
      <c r="P172" s="360">
        <f t="shared" si="72"/>
        <v>18730.713794123705</v>
      </c>
      <c r="R172" s="359">
        <f t="shared" si="73"/>
        <v>46142</v>
      </c>
      <c r="S172" s="334">
        <f t="shared" si="74"/>
        <v>160</v>
      </c>
      <c r="T172" s="335">
        <f t="shared" si="75"/>
        <v>227.1751863850151</v>
      </c>
      <c r="U172" s="335"/>
      <c r="V172" s="335">
        <f t="shared" si="76"/>
        <v>156.67676843395634</v>
      </c>
      <c r="W172" s="335">
        <f t="shared" si="90"/>
        <v>70.49841795105877</v>
      </c>
      <c r="X172" s="360">
        <f t="shared" si="77"/>
        <v>18730.713794123705</v>
      </c>
      <c r="Z172" s="359">
        <f t="shared" si="78"/>
        <v>46142</v>
      </c>
      <c r="AA172" s="334">
        <f t="shared" si="79"/>
        <v>160</v>
      </c>
      <c r="AB172" s="335">
        <f t="shared" si="80"/>
        <v>227.1751863850151</v>
      </c>
      <c r="AC172" s="335"/>
      <c r="AD172" s="335">
        <f t="shared" si="81"/>
        <v>156.67676843395634</v>
      </c>
      <c r="AE172" s="335">
        <f t="shared" si="91"/>
        <v>70.49841795105877</v>
      </c>
      <c r="AF172" s="360">
        <f t="shared" si="82"/>
        <v>18730.713794123705</v>
      </c>
      <c r="AH172" s="359">
        <f t="shared" si="83"/>
        <v>46142</v>
      </c>
      <c r="AI172" s="334">
        <f t="shared" si="84"/>
        <v>160</v>
      </c>
      <c r="AJ172" s="335">
        <f t="shared" si="85"/>
        <v>227.1751863850151</v>
      </c>
      <c r="AK172" s="335"/>
      <c r="AL172" s="335">
        <f t="shared" si="86"/>
        <v>156.67676843395634</v>
      </c>
      <c r="AM172" s="335">
        <f t="shared" si="92"/>
        <v>70.49841795105877</v>
      </c>
      <c r="AN172" s="360">
        <f t="shared" si="87"/>
        <v>18730.713794123705</v>
      </c>
    </row>
    <row r="173" spans="1:40" ht="12.75">
      <c r="A173" s="359">
        <f t="shared" si="62"/>
        <v>46173</v>
      </c>
      <c r="B173" s="334">
        <f t="shared" si="63"/>
        <v>161</v>
      </c>
      <c r="C173" s="335">
        <f t="shared" si="64"/>
        <v>227.1751863850151</v>
      </c>
      <c r="D173" s="335"/>
      <c r="E173" s="335">
        <f t="shared" si="65"/>
        <v>156.08928161769754</v>
      </c>
      <c r="F173" s="335">
        <f t="shared" si="88"/>
        <v>71.08590476731757</v>
      </c>
      <c r="G173" s="360">
        <f t="shared" si="66"/>
        <v>18659.627889356387</v>
      </c>
      <c r="H173" s="336" t="e">
        <f t="shared" si="67"/>
        <v>#VALUE!</v>
      </c>
      <c r="I173" s="333"/>
      <c r="J173" s="359">
        <f t="shared" si="68"/>
        <v>46173</v>
      </c>
      <c r="K173" s="334">
        <f t="shared" si="69"/>
        <v>161</v>
      </c>
      <c r="L173" s="335">
        <f t="shared" si="70"/>
        <v>227.1751863850151</v>
      </c>
      <c r="M173" s="335"/>
      <c r="N173" s="335">
        <f t="shared" si="71"/>
        <v>156.08928161769754</v>
      </c>
      <c r="O173" s="335">
        <f t="shared" si="89"/>
        <v>71.08590476731757</v>
      </c>
      <c r="P173" s="360">
        <f t="shared" si="72"/>
        <v>18659.627889356387</v>
      </c>
      <c r="R173" s="359">
        <f t="shared" si="73"/>
        <v>46173</v>
      </c>
      <c r="S173" s="334">
        <f t="shared" si="74"/>
        <v>161</v>
      </c>
      <c r="T173" s="335">
        <f t="shared" si="75"/>
        <v>227.1751863850151</v>
      </c>
      <c r="U173" s="335"/>
      <c r="V173" s="335">
        <f t="shared" si="76"/>
        <v>156.08928161769754</v>
      </c>
      <c r="W173" s="335">
        <f t="shared" si="90"/>
        <v>71.08590476731757</v>
      </c>
      <c r="X173" s="360">
        <f t="shared" si="77"/>
        <v>18659.627889356387</v>
      </c>
      <c r="Z173" s="359">
        <f t="shared" si="78"/>
        <v>46173</v>
      </c>
      <c r="AA173" s="334">
        <f t="shared" si="79"/>
        <v>161</v>
      </c>
      <c r="AB173" s="335">
        <f t="shared" si="80"/>
        <v>227.1751863850151</v>
      </c>
      <c r="AC173" s="335"/>
      <c r="AD173" s="335">
        <f t="shared" si="81"/>
        <v>156.08928161769754</v>
      </c>
      <c r="AE173" s="335">
        <f t="shared" si="91"/>
        <v>71.08590476731757</v>
      </c>
      <c r="AF173" s="360">
        <f t="shared" si="82"/>
        <v>18659.627889356387</v>
      </c>
      <c r="AH173" s="359">
        <f t="shared" si="83"/>
        <v>46173</v>
      </c>
      <c r="AI173" s="334">
        <f t="shared" si="84"/>
        <v>161</v>
      </c>
      <c r="AJ173" s="335">
        <f t="shared" si="85"/>
        <v>227.1751863850151</v>
      </c>
      <c r="AK173" s="335"/>
      <c r="AL173" s="335">
        <f t="shared" si="86"/>
        <v>156.08928161769754</v>
      </c>
      <c r="AM173" s="335">
        <f t="shared" si="92"/>
        <v>71.08590476731757</v>
      </c>
      <c r="AN173" s="360">
        <f t="shared" si="87"/>
        <v>18659.627889356387</v>
      </c>
    </row>
    <row r="174" spans="1:40" ht="12.75">
      <c r="A174" s="359">
        <f t="shared" si="62"/>
        <v>46203</v>
      </c>
      <c r="B174" s="334">
        <f t="shared" si="63"/>
        <v>162</v>
      </c>
      <c r="C174" s="335">
        <f t="shared" si="64"/>
        <v>227.1751863850151</v>
      </c>
      <c r="D174" s="335"/>
      <c r="E174" s="335">
        <f t="shared" si="65"/>
        <v>155.49689907796989</v>
      </c>
      <c r="F174" s="335">
        <f t="shared" si="88"/>
        <v>71.67828730704522</v>
      </c>
      <c r="G174" s="360">
        <f t="shared" si="66"/>
        <v>18587.949602049343</v>
      </c>
      <c r="H174" s="336" t="e">
        <f t="shared" si="67"/>
        <v>#VALUE!</v>
      </c>
      <c r="I174" s="333"/>
      <c r="J174" s="359">
        <f t="shared" si="68"/>
        <v>46203</v>
      </c>
      <c r="K174" s="334">
        <f t="shared" si="69"/>
        <v>162</v>
      </c>
      <c r="L174" s="335">
        <f t="shared" si="70"/>
        <v>227.1751863850151</v>
      </c>
      <c r="M174" s="335"/>
      <c r="N174" s="335">
        <f t="shared" si="71"/>
        <v>155.49689907796989</v>
      </c>
      <c r="O174" s="335">
        <f t="shared" si="89"/>
        <v>71.67828730704522</v>
      </c>
      <c r="P174" s="360">
        <f t="shared" si="72"/>
        <v>18587.949602049343</v>
      </c>
      <c r="R174" s="359">
        <f t="shared" si="73"/>
        <v>46203</v>
      </c>
      <c r="S174" s="334">
        <f t="shared" si="74"/>
        <v>162</v>
      </c>
      <c r="T174" s="335">
        <f t="shared" si="75"/>
        <v>227.1751863850151</v>
      </c>
      <c r="U174" s="335"/>
      <c r="V174" s="335">
        <f t="shared" si="76"/>
        <v>155.49689907796989</v>
      </c>
      <c r="W174" s="335">
        <f t="shared" si="90"/>
        <v>71.67828730704522</v>
      </c>
      <c r="X174" s="360">
        <f t="shared" si="77"/>
        <v>18587.949602049343</v>
      </c>
      <c r="Z174" s="359">
        <f t="shared" si="78"/>
        <v>46203</v>
      </c>
      <c r="AA174" s="334">
        <f t="shared" si="79"/>
        <v>162</v>
      </c>
      <c r="AB174" s="335">
        <f t="shared" si="80"/>
        <v>227.1751863850151</v>
      </c>
      <c r="AC174" s="335"/>
      <c r="AD174" s="335">
        <f t="shared" si="81"/>
        <v>155.49689907796989</v>
      </c>
      <c r="AE174" s="335">
        <f t="shared" si="91"/>
        <v>71.67828730704522</v>
      </c>
      <c r="AF174" s="360">
        <f t="shared" si="82"/>
        <v>18587.949602049343</v>
      </c>
      <c r="AH174" s="359">
        <f t="shared" si="83"/>
        <v>46203</v>
      </c>
      <c r="AI174" s="334">
        <f t="shared" si="84"/>
        <v>162</v>
      </c>
      <c r="AJ174" s="335">
        <f t="shared" si="85"/>
        <v>227.1751863850151</v>
      </c>
      <c r="AK174" s="335"/>
      <c r="AL174" s="335">
        <f t="shared" si="86"/>
        <v>155.49689907796989</v>
      </c>
      <c r="AM174" s="335">
        <f t="shared" si="92"/>
        <v>71.67828730704522</v>
      </c>
      <c r="AN174" s="360">
        <f t="shared" si="87"/>
        <v>18587.949602049343</v>
      </c>
    </row>
    <row r="175" spans="1:40" ht="12.75">
      <c r="A175" s="359">
        <f t="shared" si="62"/>
        <v>46234</v>
      </c>
      <c r="B175" s="334">
        <f t="shared" si="63"/>
        <v>163</v>
      </c>
      <c r="C175" s="335">
        <f t="shared" si="64"/>
        <v>227.1751863850151</v>
      </c>
      <c r="D175" s="335"/>
      <c r="E175" s="335">
        <f t="shared" si="65"/>
        <v>154.89958001707785</v>
      </c>
      <c r="F175" s="335">
        <f t="shared" si="88"/>
        <v>72.27560636793726</v>
      </c>
      <c r="G175" s="360">
        <f t="shared" si="66"/>
        <v>18515.673995681405</v>
      </c>
      <c r="H175" s="336" t="e">
        <f t="shared" si="67"/>
        <v>#VALUE!</v>
      </c>
      <c r="I175" s="333"/>
      <c r="J175" s="359">
        <f t="shared" si="68"/>
        <v>46234</v>
      </c>
      <c r="K175" s="334">
        <f t="shared" si="69"/>
        <v>163</v>
      </c>
      <c r="L175" s="335">
        <f t="shared" si="70"/>
        <v>227.1751863850151</v>
      </c>
      <c r="M175" s="335"/>
      <c r="N175" s="335">
        <f t="shared" si="71"/>
        <v>154.89958001707785</v>
      </c>
      <c r="O175" s="335">
        <f t="shared" si="89"/>
        <v>72.27560636793726</v>
      </c>
      <c r="P175" s="360">
        <f t="shared" si="72"/>
        <v>18515.673995681405</v>
      </c>
      <c r="R175" s="359">
        <f t="shared" si="73"/>
        <v>46234</v>
      </c>
      <c r="S175" s="334">
        <f t="shared" si="74"/>
        <v>163</v>
      </c>
      <c r="T175" s="335">
        <f t="shared" si="75"/>
        <v>227.1751863850151</v>
      </c>
      <c r="U175" s="335"/>
      <c r="V175" s="335">
        <f t="shared" si="76"/>
        <v>154.89958001707785</v>
      </c>
      <c r="W175" s="335">
        <f t="shared" si="90"/>
        <v>72.27560636793726</v>
      </c>
      <c r="X175" s="360">
        <f t="shared" si="77"/>
        <v>18515.673995681405</v>
      </c>
      <c r="Z175" s="359">
        <f t="shared" si="78"/>
        <v>46234</v>
      </c>
      <c r="AA175" s="334">
        <f t="shared" si="79"/>
        <v>163</v>
      </c>
      <c r="AB175" s="335">
        <f t="shared" si="80"/>
        <v>227.1751863850151</v>
      </c>
      <c r="AC175" s="335"/>
      <c r="AD175" s="335">
        <f t="shared" si="81"/>
        <v>154.89958001707785</v>
      </c>
      <c r="AE175" s="335">
        <f t="shared" si="91"/>
        <v>72.27560636793726</v>
      </c>
      <c r="AF175" s="360">
        <f t="shared" si="82"/>
        <v>18515.673995681405</v>
      </c>
      <c r="AH175" s="359">
        <f t="shared" si="83"/>
        <v>46234</v>
      </c>
      <c r="AI175" s="334">
        <f t="shared" si="84"/>
        <v>163</v>
      </c>
      <c r="AJ175" s="335">
        <f t="shared" si="85"/>
        <v>227.1751863850151</v>
      </c>
      <c r="AK175" s="335"/>
      <c r="AL175" s="335">
        <f t="shared" si="86"/>
        <v>154.89958001707785</v>
      </c>
      <c r="AM175" s="335">
        <f t="shared" si="92"/>
        <v>72.27560636793726</v>
      </c>
      <c r="AN175" s="360">
        <f t="shared" si="87"/>
        <v>18515.673995681405</v>
      </c>
    </row>
    <row r="176" spans="1:40" ht="12.75">
      <c r="A176" s="359">
        <f t="shared" si="62"/>
        <v>46265</v>
      </c>
      <c r="B176" s="334">
        <f t="shared" si="63"/>
        <v>164</v>
      </c>
      <c r="C176" s="335">
        <f t="shared" si="64"/>
        <v>227.1751863850151</v>
      </c>
      <c r="D176" s="335"/>
      <c r="E176" s="335">
        <f t="shared" si="65"/>
        <v>154.29728329734505</v>
      </c>
      <c r="F176" s="335">
        <f t="shared" si="88"/>
        <v>72.87790308767006</v>
      </c>
      <c r="G176" s="360">
        <f t="shared" si="66"/>
        <v>18442.796092593737</v>
      </c>
      <c r="H176" s="336" t="e">
        <f t="shared" si="67"/>
        <v>#VALUE!</v>
      </c>
      <c r="I176" s="333"/>
      <c r="J176" s="359">
        <f t="shared" si="68"/>
        <v>46265</v>
      </c>
      <c r="K176" s="334">
        <f t="shared" si="69"/>
        <v>164</v>
      </c>
      <c r="L176" s="335">
        <f t="shared" si="70"/>
        <v>227.1751863850151</v>
      </c>
      <c r="M176" s="335"/>
      <c r="N176" s="335">
        <f t="shared" si="71"/>
        <v>154.29728329734505</v>
      </c>
      <c r="O176" s="335">
        <f t="shared" si="89"/>
        <v>72.87790308767006</v>
      </c>
      <c r="P176" s="360">
        <f t="shared" si="72"/>
        <v>18442.796092593737</v>
      </c>
      <c r="R176" s="359">
        <f t="shared" si="73"/>
        <v>46265</v>
      </c>
      <c r="S176" s="334">
        <f t="shared" si="74"/>
        <v>164</v>
      </c>
      <c r="T176" s="335">
        <f t="shared" si="75"/>
        <v>227.1751863850151</v>
      </c>
      <c r="U176" s="335"/>
      <c r="V176" s="335">
        <f t="shared" si="76"/>
        <v>154.29728329734505</v>
      </c>
      <c r="W176" s="335">
        <f t="shared" si="90"/>
        <v>72.87790308767006</v>
      </c>
      <c r="X176" s="360">
        <f t="shared" si="77"/>
        <v>18442.796092593737</v>
      </c>
      <c r="Z176" s="359">
        <f t="shared" si="78"/>
        <v>46265</v>
      </c>
      <c r="AA176" s="334">
        <f t="shared" si="79"/>
        <v>164</v>
      </c>
      <c r="AB176" s="335">
        <f t="shared" si="80"/>
        <v>227.1751863850151</v>
      </c>
      <c r="AC176" s="335"/>
      <c r="AD176" s="335">
        <f t="shared" si="81"/>
        <v>154.29728329734505</v>
      </c>
      <c r="AE176" s="335">
        <f t="shared" si="91"/>
        <v>72.87790308767006</v>
      </c>
      <c r="AF176" s="360">
        <f t="shared" si="82"/>
        <v>18442.796092593737</v>
      </c>
      <c r="AH176" s="359">
        <f t="shared" si="83"/>
        <v>46265</v>
      </c>
      <c r="AI176" s="334">
        <f t="shared" si="84"/>
        <v>164</v>
      </c>
      <c r="AJ176" s="335">
        <f t="shared" si="85"/>
        <v>227.1751863850151</v>
      </c>
      <c r="AK176" s="335"/>
      <c r="AL176" s="335">
        <f t="shared" si="86"/>
        <v>154.29728329734505</v>
      </c>
      <c r="AM176" s="335">
        <f t="shared" si="92"/>
        <v>72.87790308767006</v>
      </c>
      <c r="AN176" s="360">
        <f t="shared" si="87"/>
        <v>18442.796092593737</v>
      </c>
    </row>
    <row r="177" spans="1:40" ht="12.75">
      <c r="A177" s="359">
        <f t="shared" si="62"/>
        <v>46295</v>
      </c>
      <c r="B177" s="334">
        <f t="shared" si="63"/>
        <v>165</v>
      </c>
      <c r="C177" s="335">
        <f t="shared" si="64"/>
        <v>227.1751863850151</v>
      </c>
      <c r="D177" s="335"/>
      <c r="E177" s="335">
        <f t="shared" si="65"/>
        <v>153.68996743828114</v>
      </c>
      <c r="F177" s="335">
        <f t="shared" si="88"/>
        <v>73.48521894673397</v>
      </c>
      <c r="G177" s="360">
        <f t="shared" si="66"/>
        <v>18369.310873647002</v>
      </c>
      <c r="H177" s="336" t="e">
        <f t="shared" si="67"/>
        <v>#VALUE!</v>
      </c>
      <c r="I177" s="333"/>
      <c r="J177" s="359">
        <f t="shared" si="68"/>
        <v>46295</v>
      </c>
      <c r="K177" s="334">
        <f t="shared" si="69"/>
        <v>165</v>
      </c>
      <c r="L177" s="335">
        <f t="shared" si="70"/>
        <v>227.1751863850151</v>
      </c>
      <c r="M177" s="335"/>
      <c r="N177" s="335">
        <f t="shared" si="71"/>
        <v>153.68996743828114</v>
      </c>
      <c r="O177" s="335">
        <f t="shared" si="89"/>
        <v>73.48521894673397</v>
      </c>
      <c r="P177" s="360">
        <f t="shared" si="72"/>
        <v>18369.310873647002</v>
      </c>
      <c r="R177" s="359">
        <f t="shared" si="73"/>
        <v>46295</v>
      </c>
      <c r="S177" s="334">
        <f t="shared" si="74"/>
        <v>165</v>
      </c>
      <c r="T177" s="335">
        <f t="shared" si="75"/>
        <v>227.1751863850151</v>
      </c>
      <c r="U177" s="335"/>
      <c r="V177" s="335">
        <f t="shared" si="76"/>
        <v>153.68996743828114</v>
      </c>
      <c r="W177" s="335">
        <f t="shared" si="90"/>
        <v>73.48521894673397</v>
      </c>
      <c r="X177" s="360">
        <f t="shared" si="77"/>
        <v>18369.310873647002</v>
      </c>
      <c r="Z177" s="359">
        <f t="shared" si="78"/>
        <v>46295</v>
      </c>
      <c r="AA177" s="334">
        <f t="shared" si="79"/>
        <v>165</v>
      </c>
      <c r="AB177" s="335">
        <f t="shared" si="80"/>
        <v>227.1751863850151</v>
      </c>
      <c r="AC177" s="335"/>
      <c r="AD177" s="335">
        <f t="shared" si="81"/>
        <v>153.68996743828114</v>
      </c>
      <c r="AE177" s="335">
        <f t="shared" si="91"/>
        <v>73.48521894673397</v>
      </c>
      <c r="AF177" s="360">
        <f t="shared" si="82"/>
        <v>18369.310873647002</v>
      </c>
      <c r="AH177" s="359">
        <f t="shared" si="83"/>
        <v>46295</v>
      </c>
      <c r="AI177" s="334">
        <f t="shared" si="84"/>
        <v>165</v>
      </c>
      <c r="AJ177" s="335">
        <f t="shared" si="85"/>
        <v>227.1751863850151</v>
      </c>
      <c r="AK177" s="335"/>
      <c r="AL177" s="335">
        <f t="shared" si="86"/>
        <v>153.68996743828114</v>
      </c>
      <c r="AM177" s="335">
        <f t="shared" si="92"/>
        <v>73.48521894673397</v>
      </c>
      <c r="AN177" s="360">
        <f t="shared" si="87"/>
        <v>18369.310873647002</v>
      </c>
    </row>
    <row r="178" spans="1:40" ht="12.75">
      <c r="A178" s="359">
        <f t="shared" si="62"/>
        <v>46326</v>
      </c>
      <c r="B178" s="334">
        <f t="shared" si="63"/>
        <v>166</v>
      </c>
      <c r="C178" s="335">
        <f t="shared" si="64"/>
        <v>227.1751863850151</v>
      </c>
      <c r="D178" s="335"/>
      <c r="E178" s="335">
        <f t="shared" si="65"/>
        <v>153.07759061372502</v>
      </c>
      <c r="F178" s="335">
        <f t="shared" si="88"/>
        <v>74.09759577129009</v>
      </c>
      <c r="G178" s="360">
        <f t="shared" si="66"/>
        <v>18295.21327787571</v>
      </c>
      <c r="H178" s="336" t="e">
        <f t="shared" si="67"/>
        <v>#VALUE!</v>
      </c>
      <c r="I178" s="333"/>
      <c r="J178" s="359">
        <f t="shared" si="68"/>
        <v>46326</v>
      </c>
      <c r="K178" s="334">
        <f t="shared" si="69"/>
        <v>166</v>
      </c>
      <c r="L178" s="335">
        <f t="shared" si="70"/>
        <v>227.1751863850151</v>
      </c>
      <c r="M178" s="335"/>
      <c r="N178" s="335">
        <f t="shared" si="71"/>
        <v>153.07759061372502</v>
      </c>
      <c r="O178" s="335">
        <f t="shared" si="89"/>
        <v>74.09759577129009</v>
      </c>
      <c r="P178" s="360">
        <f t="shared" si="72"/>
        <v>18295.21327787571</v>
      </c>
      <c r="R178" s="359">
        <f t="shared" si="73"/>
        <v>46326</v>
      </c>
      <c r="S178" s="334">
        <f t="shared" si="74"/>
        <v>166</v>
      </c>
      <c r="T178" s="335">
        <f t="shared" si="75"/>
        <v>227.1751863850151</v>
      </c>
      <c r="U178" s="335"/>
      <c r="V178" s="335">
        <f t="shared" si="76"/>
        <v>153.07759061372502</v>
      </c>
      <c r="W178" s="335">
        <f t="shared" si="90"/>
        <v>74.09759577129009</v>
      </c>
      <c r="X178" s="360">
        <f t="shared" si="77"/>
        <v>18295.21327787571</v>
      </c>
      <c r="Z178" s="359">
        <f t="shared" si="78"/>
        <v>46326</v>
      </c>
      <c r="AA178" s="334">
        <f t="shared" si="79"/>
        <v>166</v>
      </c>
      <c r="AB178" s="335">
        <f t="shared" si="80"/>
        <v>227.1751863850151</v>
      </c>
      <c r="AC178" s="335"/>
      <c r="AD178" s="335">
        <f t="shared" si="81"/>
        <v>153.07759061372502</v>
      </c>
      <c r="AE178" s="335">
        <f t="shared" si="91"/>
        <v>74.09759577129009</v>
      </c>
      <c r="AF178" s="360">
        <f t="shared" si="82"/>
        <v>18295.21327787571</v>
      </c>
      <c r="AH178" s="359">
        <f t="shared" si="83"/>
        <v>46326</v>
      </c>
      <c r="AI178" s="334">
        <f t="shared" si="84"/>
        <v>166</v>
      </c>
      <c r="AJ178" s="335">
        <f t="shared" si="85"/>
        <v>227.1751863850151</v>
      </c>
      <c r="AK178" s="335"/>
      <c r="AL178" s="335">
        <f t="shared" si="86"/>
        <v>153.07759061372502</v>
      </c>
      <c r="AM178" s="335">
        <f t="shared" si="92"/>
        <v>74.09759577129009</v>
      </c>
      <c r="AN178" s="360">
        <f t="shared" si="87"/>
        <v>18295.21327787571</v>
      </c>
    </row>
    <row r="179" spans="1:40" ht="12.75">
      <c r="A179" s="359">
        <f t="shared" si="62"/>
        <v>46356</v>
      </c>
      <c r="B179" s="334">
        <f t="shared" si="63"/>
        <v>167</v>
      </c>
      <c r="C179" s="335">
        <f t="shared" si="64"/>
        <v>227.1751863850151</v>
      </c>
      <c r="D179" s="335"/>
      <c r="E179" s="335">
        <f t="shared" si="65"/>
        <v>152.46011064896425</v>
      </c>
      <c r="F179" s="335">
        <f t="shared" si="88"/>
        <v>74.71507573605086</v>
      </c>
      <c r="G179" s="360">
        <f t="shared" si="66"/>
        <v>18220.49820213966</v>
      </c>
      <c r="H179" s="336" t="e">
        <f t="shared" si="67"/>
        <v>#VALUE!</v>
      </c>
      <c r="I179" s="333"/>
      <c r="J179" s="359">
        <f t="shared" si="68"/>
        <v>46356</v>
      </c>
      <c r="K179" s="334">
        <f t="shared" si="69"/>
        <v>167</v>
      </c>
      <c r="L179" s="335">
        <f t="shared" si="70"/>
        <v>227.1751863850151</v>
      </c>
      <c r="M179" s="335"/>
      <c r="N179" s="335">
        <f t="shared" si="71"/>
        <v>152.46011064896425</v>
      </c>
      <c r="O179" s="335">
        <f t="shared" si="89"/>
        <v>74.71507573605086</v>
      </c>
      <c r="P179" s="360">
        <f t="shared" si="72"/>
        <v>18220.49820213966</v>
      </c>
      <c r="R179" s="359">
        <f t="shared" si="73"/>
        <v>46356</v>
      </c>
      <c r="S179" s="334">
        <f t="shared" si="74"/>
        <v>167</v>
      </c>
      <c r="T179" s="335">
        <f t="shared" si="75"/>
        <v>227.1751863850151</v>
      </c>
      <c r="U179" s="335"/>
      <c r="V179" s="335">
        <f t="shared" si="76"/>
        <v>152.46011064896425</v>
      </c>
      <c r="W179" s="335">
        <f t="shared" si="90"/>
        <v>74.71507573605086</v>
      </c>
      <c r="X179" s="360">
        <f t="shared" si="77"/>
        <v>18220.49820213966</v>
      </c>
      <c r="Z179" s="359">
        <f t="shared" si="78"/>
        <v>46356</v>
      </c>
      <c r="AA179" s="334">
        <f t="shared" si="79"/>
        <v>167</v>
      </c>
      <c r="AB179" s="335">
        <f t="shared" si="80"/>
        <v>227.1751863850151</v>
      </c>
      <c r="AC179" s="335"/>
      <c r="AD179" s="335">
        <f t="shared" si="81"/>
        <v>152.46011064896425</v>
      </c>
      <c r="AE179" s="335">
        <f t="shared" si="91"/>
        <v>74.71507573605086</v>
      </c>
      <c r="AF179" s="360">
        <f t="shared" si="82"/>
        <v>18220.49820213966</v>
      </c>
      <c r="AH179" s="359">
        <f t="shared" si="83"/>
        <v>46356</v>
      </c>
      <c r="AI179" s="334">
        <f t="shared" si="84"/>
        <v>167</v>
      </c>
      <c r="AJ179" s="335">
        <f t="shared" si="85"/>
        <v>227.1751863850151</v>
      </c>
      <c r="AK179" s="335"/>
      <c r="AL179" s="335">
        <f t="shared" si="86"/>
        <v>152.46011064896425</v>
      </c>
      <c r="AM179" s="335">
        <f t="shared" si="92"/>
        <v>74.71507573605086</v>
      </c>
      <c r="AN179" s="360">
        <f t="shared" si="87"/>
        <v>18220.49820213966</v>
      </c>
    </row>
    <row r="180" spans="1:40" ht="12.75">
      <c r="A180" s="359">
        <f t="shared" si="62"/>
        <v>46387</v>
      </c>
      <c r="B180" s="334">
        <f t="shared" si="63"/>
        <v>168</v>
      </c>
      <c r="C180" s="335">
        <f t="shared" si="64"/>
        <v>227.1751863850151</v>
      </c>
      <c r="D180" s="335"/>
      <c r="E180" s="335">
        <f t="shared" si="65"/>
        <v>151.83748501783052</v>
      </c>
      <c r="F180" s="335">
        <f t="shared" si="88"/>
        <v>75.3377013671846</v>
      </c>
      <c r="G180" s="360">
        <f t="shared" si="66"/>
        <v>18145.160500772476</v>
      </c>
      <c r="H180" s="336" t="e">
        <f t="shared" si="67"/>
        <v>#VALUE!</v>
      </c>
      <c r="I180" s="333"/>
      <c r="J180" s="359">
        <f t="shared" si="68"/>
        <v>46387</v>
      </c>
      <c r="K180" s="334">
        <f t="shared" si="69"/>
        <v>168</v>
      </c>
      <c r="L180" s="335">
        <f t="shared" si="70"/>
        <v>227.1751863850151</v>
      </c>
      <c r="M180" s="335"/>
      <c r="N180" s="335">
        <f t="shared" si="71"/>
        <v>151.83748501783052</v>
      </c>
      <c r="O180" s="335">
        <f t="shared" si="89"/>
        <v>75.3377013671846</v>
      </c>
      <c r="P180" s="360">
        <f t="shared" si="72"/>
        <v>18145.160500772476</v>
      </c>
      <c r="R180" s="359">
        <f t="shared" si="73"/>
        <v>46387</v>
      </c>
      <c r="S180" s="334">
        <f t="shared" si="74"/>
        <v>168</v>
      </c>
      <c r="T180" s="335">
        <f t="shared" si="75"/>
        <v>227.1751863850151</v>
      </c>
      <c r="U180" s="335"/>
      <c r="V180" s="335">
        <f t="shared" si="76"/>
        <v>151.83748501783052</v>
      </c>
      <c r="W180" s="335">
        <f t="shared" si="90"/>
        <v>75.3377013671846</v>
      </c>
      <c r="X180" s="360">
        <f t="shared" si="77"/>
        <v>18145.160500772476</v>
      </c>
      <c r="Z180" s="359">
        <f t="shared" si="78"/>
        <v>46387</v>
      </c>
      <c r="AA180" s="334">
        <f t="shared" si="79"/>
        <v>168</v>
      </c>
      <c r="AB180" s="335">
        <f t="shared" si="80"/>
        <v>227.1751863850151</v>
      </c>
      <c r="AC180" s="335"/>
      <c r="AD180" s="335">
        <f t="shared" si="81"/>
        <v>151.83748501783052</v>
      </c>
      <c r="AE180" s="335">
        <f t="shared" si="91"/>
        <v>75.3377013671846</v>
      </c>
      <c r="AF180" s="360">
        <f t="shared" si="82"/>
        <v>18145.160500772476</v>
      </c>
      <c r="AH180" s="359">
        <f t="shared" si="83"/>
        <v>46387</v>
      </c>
      <c r="AI180" s="334">
        <f t="shared" si="84"/>
        <v>168</v>
      </c>
      <c r="AJ180" s="335">
        <f t="shared" si="85"/>
        <v>227.1751863850151</v>
      </c>
      <c r="AK180" s="335"/>
      <c r="AL180" s="335">
        <f t="shared" si="86"/>
        <v>151.83748501783052</v>
      </c>
      <c r="AM180" s="335">
        <f t="shared" si="92"/>
        <v>75.3377013671846</v>
      </c>
      <c r="AN180" s="360">
        <f t="shared" si="87"/>
        <v>18145.160500772476</v>
      </c>
    </row>
    <row r="181" spans="1:40" ht="12.75">
      <c r="A181" s="359">
        <f t="shared" si="62"/>
        <v>46418</v>
      </c>
      <c r="B181" s="334">
        <f t="shared" si="63"/>
        <v>169</v>
      </c>
      <c r="C181" s="335">
        <f t="shared" si="64"/>
        <v>227.1751863850151</v>
      </c>
      <c r="D181" s="335"/>
      <c r="E181" s="335">
        <f t="shared" si="65"/>
        <v>151.20967083977064</v>
      </c>
      <c r="F181" s="335">
        <f t="shared" si="88"/>
        <v>75.96551554524447</v>
      </c>
      <c r="G181" s="360">
        <f t="shared" si="66"/>
        <v>18069.19498522723</v>
      </c>
      <c r="H181" s="336" t="e">
        <f t="shared" si="67"/>
        <v>#VALUE!</v>
      </c>
      <c r="I181" s="333"/>
      <c r="J181" s="359">
        <f t="shared" si="68"/>
        <v>46418</v>
      </c>
      <c r="K181" s="334">
        <f t="shared" si="69"/>
        <v>169</v>
      </c>
      <c r="L181" s="335">
        <f t="shared" si="70"/>
        <v>227.1751863850151</v>
      </c>
      <c r="M181" s="335"/>
      <c r="N181" s="335">
        <f t="shared" si="71"/>
        <v>151.20967083977064</v>
      </c>
      <c r="O181" s="335">
        <f t="shared" si="89"/>
        <v>75.96551554524447</v>
      </c>
      <c r="P181" s="360">
        <f t="shared" si="72"/>
        <v>18069.19498522723</v>
      </c>
      <c r="R181" s="359">
        <f t="shared" si="73"/>
        <v>46418</v>
      </c>
      <c r="S181" s="334">
        <f t="shared" si="74"/>
        <v>169</v>
      </c>
      <c r="T181" s="335">
        <f t="shared" si="75"/>
        <v>227.1751863850151</v>
      </c>
      <c r="U181" s="335"/>
      <c r="V181" s="335">
        <f t="shared" si="76"/>
        <v>151.20967083977064</v>
      </c>
      <c r="W181" s="335">
        <f t="shared" si="90"/>
        <v>75.96551554524447</v>
      </c>
      <c r="X181" s="360">
        <f t="shared" si="77"/>
        <v>18069.19498522723</v>
      </c>
      <c r="Z181" s="359">
        <f t="shared" si="78"/>
        <v>46418</v>
      </c>
      <c r="AA181" s="334">
        <f t="shared" si="79"/>
        <v>169</v>
      </c>
      <c r="AB181" s="335">
        <f t="shared" si="80"/>
        <v>227.1751863850151</v>
      </c>
      <c r="AC181" s="335"/>
      <c r="AD181" s="335">
        <f t="shared" si="81"/>
        <v>151.20967083977064</v>
      </c>
      <c r="AE181" s="335">
        <f t="shared" si="91"/>
        <v>75.96551554524447</v>
      </c>
      <c r="AF181" s="360">
        <f t="shared" si="82"/>
        <v>18069.19498522723</v>
      </c>
      <c r="AH181" s="359">
        <f t="shared" si="83"/>
        <v>46418</v>
      </c>
      <c r="AI181" s="334">
        <f t="shared" si="84"/>
        <v>169</v>
      </c>
      <c r="AJ181" s="335">
        <f t="shared" si="85"/>
        <v>227.1751863850151</v>
      </c>
      <c r="AK181" s="335"/>
      <c r="AL181" s="335">
        <f t="shared" si="86"/>
        <v>151.20967083977064</v>
      </c>
      <c r="AM181" s="335">
        <f t="shared" si="92"/>
        <v>75.96551554524447</v>
      </c>
      <c r="AN181" s="360">
        <f t="shared" si="87"/>
        <v>18069.19498522723</v>
      </c>
    </row>
    <row r="182" spans="1:40" ht="12.75">
      <c r="A182" s="359">
        <f t="shared" si="62"/>
        <v>46446</v>
      </c>
      <c r="B182" s="334">
        <f t="shared" si="63"/>
        <v>170</v>
      </c>
      <c r="C182" s="335">
        <f t="shared" si="64"/>
        <v>227.1751863850151</v>
      </c>
      <c r="D182" s="335"/>
      <c r="E182" s="335">
        <f t="shared" si="65"/>
        <v>150.5766248768936</v>
      </c>
      <c r="F182" s="335">
        <f t="shared" si="88"/>
        <v>76.59856150812152</v>
      </c>
      <c r="G182" s="360">
        <f t="shared" si="66"/>
        <v>17992.596423719107</v>
      </c>
      <c r="H182" s="336" t="e">
        <f t="shared" si="67"/>
        <v>#VALUE!</v>
      </c>
      <c r="I182" s="333"/>
      <c r="J182" s="359">
        <f t="shared" si="68"/>
        <v>46446</v>
      </c>
      <c r="K182" s="334">
        <f t="shared" si="69"/>
        <v>170</v>
      </c>
      <c r="L182" s="335">
        <f t="shared" si="70"/>
        <v>227.1751863850151</v>
      </c>
      <c r="M182" s="335"/>
      <c r="N182" s="335">
        <f t="shared" si="71"/>
        <v>150.5766248768936</v>
      </c>
      <c r="O182" s="335">
        <f t="shared" si="89"/>
        <v>76.59856150812152</v>
      </c>
      <c r="P182" s="360">
        <f t="shared" si="72"/>
        <v>17992.596423719107</v>
      </c>
      <c r="R182" s="359">
        <f t="shared" si="73"/>
        <v>46446</v>
      </c>
      <c r="S182" s="334">
        <f t="shared" si="74"/>
        <v>170</v>
      </c>
      <c r="T182" s="335">
        <f t="shared" si="75"/>
        <v>227.1751863850151</v>
      </c>
      <c r="U182" s="335"/>
      <c r="V182" s="335">
        <f t="shared" si="76"/>
        <v>150.5766248768936</v>
      </c>
      <c r="W182" s="335">
        <f t="shared" si="90"/>
        <v>76.59856150812152</v>
      </c>
      <c r="X182" s="360">
        <f t="shared" si="77"/>
        <v>17992.596423719107</v>
      </c>
      <c r="Z182" s="359">
        <f t="shared" si="78"/>
        <v>46446</v>
      </c>
      <c r="AA182" s="334">
        <f t="shared" si="79"/>
        <v>170</v>
      </c>
      <c r="AB182" s="335">
        <f t="shared" si="80"/>
        <v>227.1751863850151</v>
      </c>
      <c r="AC182" s="335"/>
      <c r="AD182" s="335">
        <f t="shared" si="81"/>
        <v>150.5766248768936</v>
      </c>
      <c r="AE182" s="335">
        <f t="shared" si="91"/>
        <v>76.59856150812152</v>
      </c>
      <c r="AF182" s="360">
        <f t="shared" si="82"/>
        <v>17992.596423719107</v>
      </c>
      <c r="AH182" s="359">
        <f t="shared" si="83"/>
        <v>46446</v>
      </c>
      <c r="AI182" s="334">
        <f t="shared" si="84"/>
        <v>170</v>
      </c>
      <c r="AJ182" s="335">
        <f t="shared" si="85"/>
        <v>227.1751863850151</v>
      </c>
      <c r="AK182" s="335"/>
      <c r="AL182" s="335">
        <f t="shared" si="86"/>
        <v>150.5766248768936</v>
      </c>
      <c r="AM182" s="335">
        <f t="shared" si="92"/>
        <v>76.59856150812152</v>
      </c>
      <c r="AN182" s="360">
        <f t="shared" si="87"/>
        <v>17992.596423719107</v>
      </c>
    </row>
    <row r="183" spans="1:40" ht="12.75">
      <c r="A183" s="359">
        <f t="shared" si="62"/>
        <v>46477</v>
      </c>
      <c r="B183" s="334">
        <f t="shared" si="63"/>
        <v>171</v>
      </c>
      <c r="C183" s="335">
        <f t="shared" si="64"/>
        <v>227.1751863850151</v>
      </c>
      <c r="D183" s="335"/>
      <c r="E183" s="335">
        <f t="shared" si="65"/>
        <v>149.93830353099256</v>
      </c>
      <c r="F183" s="335">
        <f t="shared" si="88"/>
        <v>77.23688285402255</v>
      </c>
      <c r="G183" s="360">
        <f t="shared" si="66"/>
        <v>17915.359540865084</v>
      </c>
      <c r="H183" s="336" t="e">
        <f t="shared" si="67"/>
        <v>#VALUE!</v>
      </c>
      <c r="I183" s="333"/>
      <c r="J183" s="359">
        <f t="shared" si="68"/>
        <v>46477</v>
      </c>
      <c r="K183" s="334">
        <f t="shared" si="69"/>
        <v>171</v>
      </c>
      <c r="L183" s="335">
        <f t="shared" si="70"/>
        <v>227.1751863850151</v>
      </c>
      <c r="M183" s="335"/>
      <c r="N183" s="335">
        <f t="shared" si="71"/>
        <v>149.93830353099256</v>
      </c>
      <c r="O183" s="335">
        <f t="shared" si="89"/>
        <v>77.23688285402255</v>
      </c>
      <c r="P183" s="360">
        <f t="shared" si="72"/>
        <v>17915.359540865084</v>
      </c>
      <c r="R183" s="359">
        <f t="shared" si="73"/>
        <v>46477</v>
      </c>
      <c r="S183" s="334">
        <f t="shared" si="74"/>
        <v>171</v>
      </c>
      <c r="T183" s="335">
        <f t="shared" si="75"/>
        <v>227.1751863850151</v>
      </c>
      <c r="U183" s="335"/>
      <c r="V183" s="335">
        <f t="shared" si="76"/>
        <v>149.93830353099256</v>
      </c>
      <c r="W183" s="335">
        <f t="shared" si="90"/>
        <v>77.23688285402255</v>
      </c>
      <c r="X183" s="360">
        <f t="shared" si="77"/>
        <v>17915.359540865084</v>
      </c>
      <c r="Z183" s="359">
        <f t="shared" si="78"/>
        <v>46477</v>
      </c>
      <c r="AA183" s="334">
        <f t="shared" si="79"/>
        <v>171</v>
      </c>
      <c r="AB183" s="335">
        <f t="shared" si="80"/>
        <v>227.1751863850151</v>
      </c>
      <c r="AC183" s="335"/>
      <c r="AD183" s="335">
        <f t="shared" si="81"/>
        <v>149.93830353099256</v>
      </c>
      <c r="AE183" s="335">
        <f t="shared" si="91"/>
        <v>77.23688285402255</v>
      </c>
      <c r="AF183" s="360">
        <f t="shared" si="82"/>
        <v>17915.359540865084</v>
      </c>
      <c r="AH183" s="359">
        <f t="shared" si="83"/>
        <v>46477</v>
      </c>
      <c r="AI183" s="334">
        <f t="shared" si="84"/>
        <v>171</v>
      </c>
      <c r="AJ183" s="335">
        <f t="shared" si="85"/>
        <v>227.1751863850151</v>
      </c>
      <c r="AK183" s="335"/>
      <c r="AL183" s="335">
        <f t="shared" si="86"/>
        <v>149.93830353099256</v>
      </c>
      <c r="AM183" s="335">
        <f t="shared" si="92"/>
        <v>77.23688285402255</v>
      </c>
      <c r="AN183" s="360">
        <f t="shared" si="87"/>
        <v>17915.359540865084</v>
      </c>
    </row>
    <row r="184" spans="1:40" ht="12.75">
      <c r="A184" s="359">
        <f t="shared" si="62"/>
        <v>46507</v>
      </c>
      <c r="B184" s="334">
        <f t="shared" si="63"/>
        <v>172</v>
      </c>
      <c r="C184" s="335">
        <f t="shared" si="64"/>
        <v>227.1751863850151</v>
      </c>
      <c r="D184" s="335"/>
      <c r="E184" s="335">
        <f t="shared" si="65"/>
        <v>149.29466284054237</v>
      </c>
      <c r="F184" s="335">
        <f t="shared" si="88"/>
        <v>77.88052354447274</v>
      </c>
      <c r="G184" s="360">
        <f t="shared" si="66"/>
        <v>17837.47901732061</v>
      </c>
      <c r="H184" s="336" t="e">
        <f t="shared" si="67"/>
        <v>#VALUE!</v>
      </c>
      <c r="I184" s="333"/>
      <c r="J184" s="359">
        <f t="shared" si="68"/>
        <v>46507</v>
      </c>
      <c r="K184" s="334">
        <f t="shared" si="69"/>
        <v>172</v>
      </c>
      <c r="L184" s="335">
        <f t="shared" si="70"/>
        <v>227.1751863850151</v>
      </c>
      <c r="M184" s="335"/>
      <c r="N184" s="335">
        <f t="shared" si="71"/>
        <v>149.29466284054237</v>
      </c>
      <c r="O184" s="335">
        <f t="shared" si="89"/>
        <v>77.88052354447274</v>
      </c>
      <c r="P184" s="360">
        <f t="shared" si="72"/>
        <v>17837.47901732061</v>
      </c>
      <c r="R184" s="359">
        <f t="shared" si="73"/>
        <v>46507</v>
      </c>
      <c r="S184" s="334">
        <f t="shared" si="74"/>
        <v>172</v>
      </c>
      <c r="T184" s="335">
        <f t="shared" si="75"/>
        <v>227.1751863850151</v>
      </c>
      <c r="U184" s="335"/>
      <c r="V184" s="335">
        <f t="shared" si="76"/>
        <v>149.29466284054237</v>
      </c>
      <c r="W184" s="335">
        <f t="shared" si="90"/>
        <v>77.88052354447274</v>
      </c>
      <c r="X184" s="360">
        <f t="shared" si="77"/>
        <v>17837.47901732061</v>
      </c>
      <c r="Z184" s="359">
        <f t="shared" si="78"/>
        <v>46507</v>
      </c>
      <c r="AA184" s="334">
        <f t="shared" si="79"/>
        <v>172</v>
      </c>
      <c r="AB184" s="335">
        <f t="shared" si="80"/>
        <v>227.1751863850151</v>
      </c>
      <c r="AC184" s="335"/>
      <c r="AD184" s="335">
        <f t="shared" si="81"/>
        <v>149.29466284054237</v>
      </c>
      <c r="AE184" s="335">
        <f t="shared" si="91"/>
        <v>77.88052354447274</v>
      </c>
      <c r="AF184" s="360">
        <f t="shared" si="82"/>
        <v>17837.47901732061</v>
      </c>
      <c r="AH184" s="359">
        <f t="shared" si="83"/>
        <v>46507</v>
      </c>
      <c r="AI184" s="334">
        <f t="shared" si="84"/>
        <v>172</v>
      </c>
      <c r="AJ184" s="335">
        <f t="shared" si="85"/>
        <v>227.1751863850151</v>
      </c>
      <c r="AK184" s="335"/>
      <c r="AL184" s="335">
        <f t="shared" si="86"/>
        <v>149.29466284054237</v>
      </c>
      <c r="AM184" s="335">
        <f t="shared" si="92"/>
        <v>77.88052354447274</v>
      </c>
      <c r="AN184" s="360">
        <f t="shared" si="87"/>
        <v>17837.47901732061</v>
      </c>
    </row>
    <row r="185" spans="1:40" ht="12.75">
      <c r="A185" s="359">
        <f t="shared" si="62"/>
        <v>46538</v>
      </c>
      <c r="B185" s="334">
        <f t="shared" si="63"/>
        <v>173</v>
      </c>
      <c r="C185" s="335">
        <f t="shared" si="64"/>
        <v>227.1751863850151</v>
      </c>
      <c r="D185" s="335"/>
      <c r="E185" s="335">
        <f t="shared" si="65"/>
        <v>148.64565847767173</v>
      </c>
      <c r="F185" s="335">
        <f t="shared" si="88"/>
        <v>78.52952790734338</v>
      </c>
      <c r="G185" s="360">
        <f t="shared" si="66"/>
        <v>17758.949489413266</v>
      </c>
      <c r="H185" s="336" t="e">
        <f t="shared" si="67"/>
        <v>#VALUE!</v>
      </c>
      <c r="I185" s="333"/>
      <c r="J185" s="359">
        <f t="shared" si="68"/>
        <v>46538</v>
      </c>
      <c r="K185" s="334">
        <f t="shared" si="69"/>
        <v>173</v>
      </c>
      <c r="L185" s="335">
        <f t="shared" si="70"/>
        <v>227.1751863850151</v>
      </c>
      <c r="M185" s="335"/>
      <c r="N185" s="335">
        <f t="shared" si="71"/>
        <v>148.64565847767173</v>
      </c>
      <c r="O185" s="335">
        <f t="shared" si="89"/>
        <v>78.52952790734338</v>
      </c>
      <c r="P185" s="360">
        <f t="shared" si="72"/>
        <v>17758.949489413266</v>
      </c>
      <c r="R185" s="359">
        <f t="shared" si="73"/>
        <v>46538</v>
      </c>
      <c r="S185" s="334">
        <f t="shared" si="74"/>
        <v>173</v>
      </c>
      <c r="T185" s="335">
        <f t="shared" si="75"/>
        <v>227.1751863850151</v>
      </c>
      <c r="U185" s="335"/>
      <c r="V185" s="335">
        <f t="shared" si="76"/>
        <v>148.64565847767173</v>
      </c>
      <c r="W185" s="335">
        <f t="shared" si="90"/>
        <v>78.52952790734338</v>
      </c>
      <c r="X185" s="360">
        <f t="shared" si="77"/>
        <v>17758.949489413266</v>
      </c>
      <c r="Z185" s="359">
        <f t="shared" si="78"/>
        <v>46538</v>
      </c>
      <c r="AA185" s="334">
        <f t="shared" si="79"/>
        <v>173</v>
      </c>
      <c r="AB185" s="335">
        <f t="shared" si="80"/>
        <v>227.1751863850151</v>
      </c>
      <c r="AC185" s="335"/>
      <c r="AD185" s="335">
        <f t="shared" si="81"/>
        <v>148.64565847767173</v>
      </c>
      <c r="AE185" s="335">
        <f t="shared" si="91"/>
        <v>78.52952790734338</v>
      </c>
      <c r="AF185" s="360">
        <f t="shared" si="82"/>
        <v>17758.949489413266</v>
      </c>
      <c r="AH185" s="359">
        <f t="shared" si="83"/>
        <v>46538</v>
      </c>
      <c r="AI185" s="334">
        <f t="shared" si="84"/>
        <v>173</v>
      </c>
      <c r="AJ185" s="335">
        <f t="shared" si="85"/>
        <v>227.1751863850151</v>
      </c>
      <c r="AK185" s="335"/>
      <c r="AL185" s="335">
        <f t="shared" si="86"/>
        <v>148.64565847767173</v>
      </c>
      <c r="AM185" s="335">
        <f t="shared" si="92"/>
        <v>78.52952790734338</v>
      </c>
      <c r="AN185" s="360">
        <f t="shared" si="87"/>
        <v>17758.949489413266</v>
      </c>
    </row>
    <row r="186" spans="1:40" ht="12.75">
      <c r="A186" s="359">
        <f t="shared" si="62"/>
        <v>46568</v>
      </c>
      <c r="B186" s="334">
        <f t="shared" si="63"/>
        <v>174</v>
      </c>
      <c r="C186" s="335">
        <f t="shared" si="64"/>
        <v>227.1751863850151</v>
      </c>
      <c r="D186" s="335"/>
      <c r="E186" s="335">
        <f t="shared" si="65"/>
        <v>147.99124574511055</v>
      </c>
      <c r="F186" s="335">
        <f t="shared" si="88"/>
        <v>79.18394063990456</v>
      </c>
      <c r="G186" s="360">
        <f t="shared" si="66"/>
        <v>17679.76554877336</v>
      </c>
      <c r="H186" s="336" t="e">
        <f t="shared" si="67"/>
        <v>#VALUE!</v>
      </c>
      <c r="I186" s="333"/>
      <c r="J186" s="359">
        <f t="shared" si="68"/>
        <v>46568</v>
      </c>
      <c r="K186" s="334">
        <f t="shared" si="69"/>
        <v>174</v>
      </c>
      <c r="L186" s="335">
        <f t="shared" si="70"/>
        <v>227.1751863850151</v>
      </c>
      <c r="M186" s="335"/>
      <c r="N186" s="335">
        <f t="shared" si="71"/>
        <v>147.99124574511055</v>
      </c>
      <c r="O186" s="335">
        <f t="shared" si="89"/>
        <v>79.18394063990456</v>
      </c>
      <c r="P186" s="360">
        <f t="shared" si="72"/>
        <v>17679.76554877336</v>
      </c>
      <c r="R186" s="359">
        <f t="shared" si="73"/>
        <v>46568</v>
      </c>
      <c r="S186" s="334">
        <f t="shared" si="74"/>
        <v>174</v>
      </c>
      <c r="T186" s="335">
        <f t="shared" si="75"/>
        <v>227.1751863850151</v>
      </c>
      <c r="U186" s="335"/>
      <c r="V186" s="335">
        <f t="shared" si="76"/>
        <v>147.99124574511055</v>
      </c>
      <c r="W186" s="335">
        <f t="shared" si="90"/>
        <v>79.18394063990456</v>
      </c>
      <c r="X186" s="360">
        <f t="shared" si="77"/>
        <v>17679.76554877336</v>
      </c>
      <c r="Z186" s="359">
        <f t="shared" si="78"/>
        <v>46568</v>
      </c>
      <c r="AA186" s="334">
        <f t="shared" si="79"/>
        <v>174</v>
      </c>
      <c r="AB186" s="335">
        <f t="shared" si="80"/>
        <v>227.1751863850151</v>
      </c>
      <c r="AC186" s="335"/>
      <c r="AD186" s="335">
        <f t="shared" si="81"/>
        <v>147.99124574511055</v>
      </c>
      <c r="AE186" s="335">
        <f t="shared" si="91"/>
        <v>79.18394063990456</v>
      </c>
      <c r="AF186" s="360">
        <f t="shared" si="82"/>
        <v>17679.76554877336</v>
      </c>
      <c r="AH186" s="359">
        <f t="shared" si="83"/>
        <v>46568</v>
      </c>
      <c r="AI186" s="334">
        <f t="shared" si="84"/>
        <v>174</v>
      </c>
      <c r="AJ186" s="335">
        <f t="shared" si="85"/>
        <v>227.1751863850151</v>
      </c>
      <c r="AK186" s="335"/>
      <c r="AL186" s="335">
        <f t="shared" si="86"/>
        <v>147.99124574511055</v>
      </c>
      <c r="AM186" s="335">
        <f t="shared" si="92"/>
        <v>79.18394063990456</v>
      </c>
      <c r="AN186" s="360">
        <f t="shared" si="87"/>
        <v>17679.76554877336</v>
      </c>
    </row>
    <row r="187" spans="1:40" ht="12.75">
      <c r="A187" s="359">
        <f t="shared" si="62"/>
        <v>46599</v>
      </c>
      <c r="B187" s="334">
        <f t="shared" si="63"/>
        <v>175</v>
      </c>
      <c r="C187" s="335">
        <f t="shared" si="64"/>
        <v>227.1751863850151</v>
      </c>
      <c r="D187" s="335"/>
      <c r="E187" s="335">
        <f t="shared" si="65"/>
        <v>147.33137957311135</v>
      </c>
      <c r="F187" s="335">
        <f t="shared" si="88"/>
        <v>79.84380681190376</v>
      </c>
      <c r="G187" s="360">
        <f t="shared" si="66"/>
        <v>17599.921741961458</v>
      </c>
      <c r="H187" s="336" t="e">
        <f t="shared" si="67"/>
        <v>#VALUE!</v>
      </c>
      <c r="I187" s="333"/>
      <c r="J187" s="359">
        <f t="shared" si="68"/>
        <v>46599</v>
      </c>
      <c r="K187" s="334">
        <f t="shared" si="69"/>
        <v>175</v>
      </c>
      <c r="L187" s="335">
        <f t="shared" si="70"/>
        <v>227.1751863850151</v>
      </c>
      <c r="M187" s="335"/>
      <c r="N187" s="335">
        <f t="shared" si="71"/>
        <v>147.33137957311135</v>
      </c>
      <c r="O187" s="335">
        <f t="shared" si="89"/>
        <v>79.84380681190376</v>
      </c>
      <c r="P187" s="360">
        <f t="shared" si="72"/>
        <v>17599.921741961458</v>
      </c>
      <c r="R187" s="359">
        <f t="shared" si="73"/>
        <v>46599</v>
      </c>
      <c r="S187" s="334">
        <f t="shared" si="74"/>
        <v>175</v>
      </c>
      <c r="T187" s="335">
        <f t="shared" si="75"/>
        <v>227.1751863850151</v>
      </c>
      <c r="U187" s="335"/>
      <c r="V187" s="335">
        <f t="shared" si="76"/>
        <v>147.33137957311135</v>
      </c>
      <c r="W187" s="335">
        <f t="shared" si="90"/>
        <v>79.84380681190376</v>
      </c>
      <c r="X187" s="360">
        <f t="shared" si="77"/>
        <v>17599.921741961458</v>
      </c>
      <c r="Z187" s="359">
        <f t="shared" si="78"/>
        <v>46599</v>
      </c>
      <c r="AA187" s="334">
        <f t="shared" si="79"/>
        <v>175</v>
      </c>
      <c r="AB187" s="335">
        <f t="shared" si="80"/>
        <v>227.1751863850151</v>
      </c>
      <c r="AC187" s="335"/>
      <c r="AD187" s="335">
        <f t="shared" si="81"/>
        <v>147.33137957311135</v>
      </c>
      <c r="AE187" s="335">
        <f t="shared" si="91"/>
        <v>79.84380681190376</v>
      </c>
      <c r="AF187" s="360">
        <f t="shared" si="82"/>
        <v>17599.921741961458</v>
      </c>
      <c r="AH187" s="359">
        <f t="shared" si="83"/>
        <v>46599</v>
      </c>
      <c r="AI187" s="334">
        <f t="shared" si="84"/>
        <v>175</v>
      </c>
      <c r="AJ187" s="335">
        <f t="shared" si="85"/>
        <v>227.1751863850151</v>
      </c>
      <c r="AK187" s="335"/>
      <c r="AL187" s="335">
        <f t="shared" si="86"/>
        <v>147.33137957311135</v>
      </c>
      <c r="AM187" s="335">
        <f t="shared" si="92"/>
        <v>79.84380681190376</v>
      </c>
      <c r="AN187" s="360">
        <f t="shared" si="87"/>
        <v>17599.921741961458</v>
      </c>
    </row>
    <row r="188" spans="1:40" ht="12.75">
      <c r="A188" s="359">
        <f t="shared" si="62"/>
        <v>46630</v>
      </c>
      <c r="B188" s="334">
        <f t="shared" si="63"/>
        <v>176</v>
      </c>
      <c r="C188" s="335">
        <f t="shared" si="64"/>
        <v>227.1751863850151</v>
      </c>
      <c r="D188" s="335"/>
      <c r="E188" s="335">
        <f t="shared" si="65"/>
        <v>146.66601451634548</v>
      </c>
      <c r="F188" s="335">
        <f t="shared" si="88"/>
        <v>80.50917186866963</v>
      </c>
      <c r="G188" s="360">
        <f t="shared" si="66"/>
        <v>17519.412570092787</v>
      </c>
      <c r="H188" s="336" t="e">
        <f t="shared" si="67"/>
        <v>#VALUE!</v>
      </c>
      <c r="I188" s="333"/>
      <c r="J188" s="359">
        <f t="shared" si="68"/>
        <v>46630</v>
      </c>
      <c r="K188" s="334">
        <f t="shared" si="69"/>
        <v>176</v>
      </c>
      <c r="L188" s="335">
        <f t="shared" si="70"/>
        <v>227.1751863850151</v>
      </c>
      <c r="M188" s="335"/>
      <c r="N188" s="335">
        <f t="shared" si="71"/>
        <v>146.66601451634548</v>
      </c>
      <c r="O188" s="335">
        <f t="shared" si="89"/>
        <v>80.50917186866963</v>
      </c>
      <c r="P188" s="360">
        <f t="shared" si="72"/>
        <v>17519.412570092787</v>
      </c>
      <c r="R188" s="359">
        <f t="shared" si="73"/>
        <v>46630</v>
      </c>
      <c r="S188" s="334">
        <f t="shared" si="74"/>
        <v>176</v>
      </c>
      <c r="T188" s="335">
        <f t="shared" si="75"/>
        <v>227.1751863850151</v>
      </c>
      <c r="U188" s="335"/>
      <c r="V188" s="335">
        <f t="shared" si="76"/>
        <v>146.66601451634548</v>
      </c>
      <c r="W188" s="335">
        <f t="shared" si="90"/>
        <v>80.50917186866963</v>
      </c>
      <c r="X188" s="360">
        <f t="shared" si="77"/>
        <v>17519.412570092787</v>
      </c>
      <c r="Z188" s="359">
        <f t="shared" si="78"/>
        <v>46630</v>
      </c>
      <c r="AA188" s="334">
        <f t="shared" si="79"/>
        <v>176</v>
      </c>
      <c r="AB188" s="335">
        <f t="shared" si="80"/>
        <v>227.1751863850151</v>
      </c>
      <c r="AC188" s="335"/>
      <c r="AD188" s="335">
        <f t="shared" si="81"/>
        <v>146.66601451634548</v>
      </c>
      <c r="AE188" s="335">
        <f t="shared" si="91"/>
        <v>80.50917186866963</v>
      </c>
      <c r="AF188" s="360">
        <f t="shared" si="82"/>
        <v>17519.412570092787</v>
      </c>
      <c r="AH188" s="359">
        <f t="shared" si="83"/>
        <v>46630</v>
      </c>
      <c r="AI188" s="334">
        <f t="shared" si="84"/>
        <v>176</v>
      </c>
      <c r="AJ188" s="335">
        <f t="shared" si="85"/>
        <v>227.1751863850151</v>
      </c>
      <c r="AK188" s="335"/>
      <c r="AL188" s="335">
        <f t="shared" si="86"/>
        <v>146.66601451634548</v>
      </c>
      <c r="AM188" s="335">
        <f t="shared" si="92"/>
        <v>80.50917186866963</v>
      </c>
      <c r="AN188" s="360">
        <f t="shared" si="87"/>
        <v>17519.412570092787</v>
      </c>
    </row>
    <row r="189" spans="1:40" ht="12.75">
      <c r="A189" s="359">
        <f t="shared" si="62"/>
        <v>46660</v>
      </c>
      <c r="B189" s="334">
        <f t="shared" si="63"/>
        <v>177</v>
      </c>
      <c r="C189" s="335">
        <f t="shared" si="64"/>
        <v>227.1751863850151</v>
      </c>
      <c r="D189" s="335"/>
      <c r="E189" s="335">
        <f t="shared" si="65"/>
        <v>145.99510475077324</v>
      </c>
      <c r="F189" s="335">
        <f t="shared" si="88"/>
        <v>81.18008163424187</v>
      </c>
      <c r="G189" s="360">
        <f t="shared" si="66"/>
        <v>17438.232488458547</v>
      </c>
      <c r="H189" s="336" t="e">
        <f t="shared" si="67"/>
        <v>#VALUE!</v>
      </c>
      <c r="I189" s="333"/>
      <c r="J189" s="359">
        <f t="shared" si="68"/>
        <v>46660</v>
      </c>
      <c r="K189" s="334">
        <f t="shared" si="69"/>
        <v>177</v>
      </c>
      <c r="L189" s="335">
        <f t="shared" si="70"/>
        <v>227.1751863850151</v>
      </c>
      <c r="M189" s="335"/>
      <c r="N189" s="335">
        <f t="shared" si="71"/>
        <v>145.99510475077324</v>
      </c>
      <c r="O189" s="335">
        <f t="shared" si="89"/>
        <v>81.18008163424187</v>
      </c>
      <c r="P189" s="360">
        <f t="shared" si="72"/>
        <v>17438.232488458547</v>
      </c>
      <c r="R189" s="359">
        <f t="shared" si="73"/>
        <v>46660</v>
      </c>
      <c r="S189" s="334">
        <f t="shared" si="74"/>
        <v>177</v>
      </c>
      <c r="T189" s="335">
        <f t="shared" si="75"/>
        <v>227.1751863850151</v>
      </c>
      <c r="U189" s="335"/>
      <c r="V189" s="335">
        <f t="shared" si="76"/>
        <v>145.99510475077324</v>
      </c>
      <c r="W189" s="335">
        <f t="shared" si="90"/>
        <v>81.18008163424187</v>
      </c>
      <c r="X189" s="360">
        <f t="shared" si="77"/>
        <v>17438.232488458547</v>
      </c>
      <c r="Z189" s="359">
        <f t="shared" si="78"/>
        <v>46660</v>
      </c>
      <c r="AA189" s="334">
        <f t="shared" si="79"/>
        <v>177</v>
      </c>
      <c r="AB189" s="335">
        <f t="shared" si="80"/>
        <v>227.1751863850151</v>
      </c>
      <c r="AC189" s="335"/>
      <c r="AD189" s="335">
        <f t="shared" si="81"/>
        <v>145.99510475077324</v>
      </c>
      <c r="AE189" s="335">
        <f t="shared" si="91"/>
        <v>81.18008163424187</v>
      </c>
      <c r="AF189" s="360">
        <f t="shared" si="82"/>
        <v>17438.232488458547</v>
      </c>
      <c r="AH189" s="359">
        <f t="shared" si="83"/>
        <v>46660</v>
      </c>
      <c r="AI189" s="334">
        <f t="shared" si="84"/>
        <v>177</v>
      </c>
      <c r="AJ189" s="335">
        <f t="shared" si="85"/>
        <v>227.1751863850151</v>
      </c>
      <c r="AK189" s="335"/>
      <c r="AL189" s="335">
        <f t="shared" si="86"/>
        <v>145.99510475077324</v>
      </c>
      <c r="AM189" s="335">
        <f t="shared" si="92"/>
        <v>81.18008163424187</v>
      </c>
      <c r="AN189" s="360">
        <f t="shared" si="87"/>
        <v>17438.232488458547</v>
      </c>
    </row>
    <row r="190" spans="1:40" ht="12.75">
      <c r="A190" s="359">
        <f t="shared" si="62"/>
        <v>46691</v>
      </c>
      <c r="B190" s="334">
        <f>B189+1</f>
        <v>178</v>
      </c>
      <c r="C190" s="335">
        <f>IF(G189&gt;0.5,C189,"")</f>
        <v>227.1751863850151</v>
      </c>
      <c r="D190" s="335"/>
      <c r="E190" s="335">
        <f t="shared" si="65"/>
        <v>145.31860407048788</v>
      </c>
      <c r="F190" s="335">
        <f t="shared" si="88"/>
        <v>81.85658231452723</v>
      </c>
      <c r="G190" s="360">
        <f>IF(G189&gt;0.5,G189-F190,0)</f>
        <v>17356.37590614402</v>
      </c>
      <c r="H190" s="336" t="e">
        <f t="shared" si="67"/>
        <v>#VALUE!</v>
      </c>
      <c r="I190" s="333"/>
      <c r="J190" s="359">
        <f t="shared" si="68"/>
        <v>46691</v>
      </c>
      <c r="K190" s="334">
        <f>K189+1</f>
        <v>178</v>
      </c>
      <c r="L190" s="335">
        <f>IF(P189&gt;0.5,L189,"")</f>
        <v>227.1751863850151</v>
      </c>
      <c r="M190" s="335"/>
      <c r="N190" s="335">
        <f t="shared" si="71"/>
        <v>145.31860407048788</v>
      </c>
      <c r="O190" s="335">
        <f t="shared" si="89"/>
        <v>81.85658231452723</v>
      </c>
      <c r="P190" s="360">
        <f>IF(P189&gt;0.5,P189-O190,0)</f>
        <v>17356.37590614402</v>
      </c>
      <c r="R190" s="359">
        <f t="shared" si="73"/>
        <v>46691</v>
      </c>
      <c r="S190" s="334">
        <f>S189+1</f>
        <v>178</v>
      </c>
      <c r="T190" s="335">
        <f>IF(X189&gt;0.5,T189,"")</f>
        <v>227.1751863850151</v>
      </c>
      <c r="U190" s="335"/>
      <c r="V190" s="335">
        <f t="shared" si="76"/>
        <v>145.31860407048788</v>
      </c>
      <c r="W190" s="335">
        <f t="shared" si="90"/>
        <v>81.85658231452723</v>
      </c>
      <c r="X190" s="360">
        <f>IF(X189&gt;0.5,X189-W190,0)</f>
        <v>17356.37590614402</v>
      </c>
      <c r="Z190" s="359">
        <f t="shared" si="78"/>
        <v>46691</v>
      </c>
      <c r="AA190" s="334">
        <f>AA189+1</f>
        <v>178</v>
      </c>
      <c r="AB190" s="335">
        <f>IF(AF189&gt;0.5,AB189,"")</f>
        <v>227.1751863850151</v>
      </c>
      <c r="AC190" s="335"/>
      <c r="AD190" s="335">
        <f t="shared" si="81"/>
        <v>145.31860407048788</v>
      </c>
      <c r="AE190" s="335">
        <f t="shared" si="91"/>
        <v>81.85658231452723</v>
      </c>
      <c r="AF190" s="360">
        <f>IF(AF189&gt;0.5,AF189-AE190,0)</f>
        <v>17356.37590614402</v>
      </c>
      <c r="AH190" s="359">
        <f t="shared" si="83"/>
        <v>46691</v>
      </c>
      <c r="AI190" s="334">
        <f>AI189+1</f>
        <v>178</v>
      </c>
      <c r="AJ190" s="335">
        <f>IF(AN189&gt;0.5,AJ189,"")</f>
        <v>227.1751863850151</v>
      </c>
      <c r="AK190" s="335"/>
      <c r="AL190" s="335">
        <f t="shared" si="86"/>
        <v>145.31860407048788</v>
      </c>
      <c r="AM190" s="335">
        <f t="shared" si="92"/>
        <v>81.85658231452723</v>
      </c>
      <c r="AN190" s="360">
        <f>IF(AN189&gt;0.5,AN189-AM190,0)</f>
        <v>17356.37590614402</v>
      </c>
    </row>
    <row r="191" spans="1:40" ht="12.75">
      <c r="A191" s="359">
        <f t="shared" si="62"/>
        <v>46721</v>
      </c>
      <c r="B191" s="334">
        <f aca="true" t="shared" si="93" ref="B191:B254">B190+1</f>
        <v>179</v>
      </c>
      <c r="C191" s="335">
        <f aca="true" t="shared" si="94" ref="C191:C254">IF(G190&gt;0.5,C190,"")</f>
        <v>227.1751863850151</v>
      </c>
      <c r="D191" s="335"/>
      <c r="E191" s="335">
        <f t="shared" si="65"/>
        <v>144.63646588453352</v>
      </c>
      <c r="F191" s="335">
        <f t="shared" si="88"/>
        <v>82.53872050048159</v>
      </c>
      <c r="G191" s="360">
        <f aca="true" t="shared" si="95" ref="G191:G254">IF(G190&gt;0.5,G190-F191,0)</f>
        <v>17273.83718564354</v>
      </c>
      <c r="H191" s="336" t="e">
        <f t="shared" si="67"/>
        <v>#VALUE!</v>
      </c>
      <c r="I191" s="333"/>
      <c r="J191" s="359">
        <f t="shared" si="68"/>
        <v>46721</v>
      </c>
      <c r="K191" s="334">
        <f aca="true" t="shared" si="96" ref="K191:K254">K190+1</f>
        <v>179</v>
      </c>
      <c r="L191" s="335">
        <f aca="true" t="shared" si="97" ref="L191:L254">IF(P190&gt;0.5,L190,"")</f>
        <v>227.1751863850151</v>
      </c>
      <c r="M191" s="335"/>
      <c r="N191" s="335">
        <f t="shared" si="71"/>
        <v>144.63646588453352</v>
      </c>
      <c r="O191" s="335">
        <f t="shared" si="89"/>
        <v>82.53872050048159</v>
      </c>
      <c r="P191" s="360">
        <f aca="true" t="shared" si="98" ref="P191:P254">IF(P190&gt;0.5,P190-O191,0)</f>
        <v>17273.83718564354</v>
      </c>
      <c r="R191" s="359">
        <f t="shared" si="73"/>
        <v>46721</v>
      </c>
      <c r="S191" s="334">
        <f aca="true" t="shared" si="99" ref="S191:S254">S190+1</f>
        <v>179</v>
      </c>
      <c r="T191" s="335">
        <f aca="true" t="shared" si="100" ref="T191:T254">IF(X190&gt;0.5,T190,"")</f>
        <v>227.1751863850151</v>
      </c>
      <c r="U191" s="335"/>
      <c r="V191" s="335">
        <f t="shared" si="76"/>
        <v>144.63646588453352</v>
      </c>
      <c r="W191" s="335">
        <f t="shared" si="90"/>
        <v>82.53872050048159</v>
      </c>
      <c r="X191" s="360">
        <f aca="true" t="shared" si="101" ref="X191:X254">IF(X190&gt;0.5,X190-W191,0)</f>
        <v>17273.83718564354</v>
      </c>
      <c r="Z191" s="359">
        <f t="shared" si="78"/>
        <v>46721</v>
      </c>
      <c r="AA191" s="334">
        <f aca="true" t="shared" si="102" ref="AA191:AA254">AA190+1</f>
        <v>179</v>
      </c>
      <c r="AB191" s="335">
        <f aca="true" t="shared" si="103" ref="AB191:AB254">IF(AF190&gt;0.5,AB190,"")</f>
        <v>227.1751863850151</v>
      </c>
      <c r="AC191" s="335"/>
      <c r="AD191" s="335">
        <f t="shared" si="81"/>
        <v>144.63646588453352</v>
      </c>
      <c r="AE191" s="335">
        <f t="shared" si="91"/>
        <v>82.53872050048159</v>
      </c>
      <c r="AF191" s="360">
        <f aca="true" t="shared" si="104" ref="AF191:AF254">IF(AF190&gt;0.5,AF190-AE191,0)</f>
        <v>17273.83718564354</v>
      </c>
      <c r="AH191" s="359">
        <f t="shared" si="83"/>
        <v>46721</v>
      </c>
      <c r="AI191" s="334">
        <f aca="true" t="shared" si="105" ref="AI191:AI254">AI190+1</f>
        <v>179</v>
      </c>
      <c r="AJ191" s="335">
        <f aca="true" t="shared" si="106" ref="AJ191:AJ254">IF(AN190&gt;0.5,AJ190,"")</f>
        <v>227.1751863850151</v>
      </c>
      <c r="AK191" s="335"/>
      <c r="AL191" s="335">
        <f t="shared" si="86"/>
        <v>144.63646588453352</v>
      </c>
      <c r="AM191" s="335">
        <f t="shared" si="92"/>
        <v>82.53872050048159</v>
      </c>
      <c r="AN191" s="360">
        <f aca="true" t="shared" si="107" ref="AN191:AN254">IF(AN190&gt;0.5,AN190-AM191,0)</f>
        <v>17273.83718564354</v>
      </c>
    </row>
    <row r="192" spans="1:40" ht="12.75">
      <c r="A192" s="359">
        <f t="shared" si="62"/>
        <v>46752</v>
      </c>
      <c r="B192" s="334">
        <f t="shared" si="93"/>
        <v>180</v>
      </c>
      <c r="C192" s="335">
        <f t="shared" si="94"/>
        <v>227.1751863850151</v>
      </c>
      <c r="D192" s="335"/>
      <c r="E192" s="335">
        <f t="shared" si="65"/>
        <v>143.94864321369616</v>
      </c>
      <c r="F192" s="335">
        <f t="shared" si="88"/>
        <v>83.22654317131895</v>
      </c>
      <c r="G192" s="360">
        <f t="shared" si="95"/>
        <v>17190.61064247222</v>
      </c>
      <c r="H192" s="336" t="e">
        <f t="shared" si="67"/>
        <v>#VALUE!</v>
      </c>
      <c r="I192" s="333"/>
      <c r="J192" s="359">
        <f t="shared" si="68"/>
        <v>46752</v>
      </c>
      <c r="K192" s="334">
        <f t="shared" si="96"/>
        <v>180</v>
      </c>
      <c r="L192" s="335">
        <f t="shared" si="97"/>
        <v>227.1751863850151</v>
      </c>
      <c r="M192" s="335"/>
      <c r="N192" s="335">
        <f t="shared" si="71"/>
        <v>143.94864321369616</v>
      </c>
      <c r="O192" s="335">
        <f t="shared" si="89"/>
        <v>83.22654317131895</v>
      </c>
      <c r="P192" s="360">
        <f t="shared" si="98"/>
        <v>17190.61064247222</v>
      </c>
      <c r="R192" s="359">
        <f t="shared" si="73"/>
        <v>46752</v>
      </c>
      <c r="S192" s="334">
        <f t="shared" si="99"/>
        <v>180</v>
      </c>
      <c r="T192" s="335">
        <f t="shared" si="100"/>
        <v>227.1751863850151</v>
      </c>
      <c r="U192" s="335"/>
      <c r="V192" s="335">
        <f t="shared" si="76"/>
        <v>143.94864321369616</v>
      </c>
      <c r="W192" s="335">
        <f t="shared" si="90"/>
        <v>83.22654317131895</v>
      </c>
      <c r="X192" s="360">
        <f t="shared" si="101"/>
        <v>17190.61064247222</v>
      </c>
      <c r="Z192" s="359">
        <f t="shared" si="78"/>
        <v>46752</v>
      </c>
      <c r="AA192" s="334">
        <f t="shared" si="102"/>
        <v>180</v>
      </c>
      <c r="AB192" s="335">
        <f t="shared" si="103"/>
        <v>227.1751863850151</v>
      </c>
      <c r="AC192" s="335"/>
      <c r="AD192" s="335">
        <f t="shared" si="81"/>
        <v>143.94864321369616</v>
      </c>
      <c r="AE192" s="335">
        <f t="shared" si="91"/>
        <v>83.22654317131895</v>
      </c>
      <c r="AF192" s="360">
        <f t="shared" si="104"/>
        <v>17190.61064247222</v>
      </c>
      <c r="AH192" s="359">
        <f t="shared" si="83"/>
        <v>46752</v>
      </c>
      <c r="AI192" s="334">
        <f t="shared" si="105"/>
        <v>180</v>
      </c>
      <c r="AJ192" s="335">
        <f t="shared" si="106"/>
        <v>227.1751863850151</v>
      </c>
      <c r="AK192" s="335"/>
      <c r="AL192" s="335">
        <f t="shared" si="86"/>
        <v>143.94864321369616</v>
      </c>
      <c r="AM192" s="335">
        <f t="shared" si="92"/>
        <v>83.22654317131895</v>
      </c>
      <c r="AN192" s="360">
        <f t="shared" si="107"/>
        <v>17190.61064247222</v>
      </c>
    </row>
    <row r="193" spans="1:40" ht="12.75">
      <c r="A193" s="359">
        <f t="shared" si="62"/>
        <v>46783</v>
      </c>
      <c r="B193" s="334">
        <f t="shared" si="93"/>
        <v>181</v>
      </c>
      <c r="C193" s="335">
        <f t="shared" si="94"/>
        <v>227.1751863850151</v>
      </c>
      <c r="D193" s="335"/>
      <c r="E193" s="335">
        <f t="shared" si="65"/>
        <v>143.2550886872685</v>
      </c>
      <c r="F193" s="335">
        <f t="shared" si="88"/>
        <v>83.9200976977466</v>
      </c>
      <c r="G193" s="360">
        <f t="shared" si="95"/>
        <v>17106.690544774472</v>
      </c>
      <c r="H193" s="336" t="e">
        <f t="shared" si="67"/>
        <v>#VALUE!</v>
      </c>
      <c r="I193" s="333"/>
      <c r="J193" s="359">
        <f t="shared" si="68"/>
        <v>46783</v>
      </c>
      <c r="K193" s="334">
        <f t="shared" si="96"/>
        <v>181</v>
      </c>
      <c r="L193" s="335">
        <f t="shared" si="97"/>
        <v>227.1751863850151</v>
      </c>
      <c r="M193" s="335"/>
      <c r="N193" s="335">
        <f t="shared" si="71"/>
        <v>143.2550886872685</v>
      </c>
      <c r="O193" s="335">
        <f t="shared" si="89"/>
        <v>83.9200976977466</v>
      </c>
      <c r="P193" s="360">
        <f t="shared" si="98"/>
        <v>17106.690544774472</v>
      </c>
      <c r="R193" s="359">
        <f t="shared" si="73"/>
        <v>46783</v>
      </c>
      <c r="S193" s="334">
        <f t="shared" si="99"/>
        <v>181</v>
      </c>
      <c r="T193" s="335">
        <f t="shared" si="100"/>
        <v>227.1751863850151</v>
      </c>
      <c r="U193" s="335"/>
      <c r="V193" s="335">
        <f t="shared" si="76"/>
        <v>143.2550886872685</v>
      </c>
      <c r="W193" s="335">
        <f t="shared" si="90"/>
        <v>83.9200976977466</v>
      </c>
      <c r="X193" s="360">
        <f t="shared" si="101"/>
        <v>17106.690544774472</v>
      </c>
      <c r="Z193" s="359">
        <f t="shared" si="78"/>
        <v>46783</v>
      </c>
      <c r="AA193" s="334">
        <f t="shared" si="102"/>
        <v>181</v>
      </c>
      <c r="AB193" s="335">
        <f t="shared" si="103"/>
        <v>227.1751863850151</v>
      </c>
      <c r="AC193" s="335"/>
      <c r="AD193" s="335">
        <f t="shared" si="81"/>
        <v>143.2550886872685</v>
      </c>
      <c r="AE193" s="335">
        <f t="shared" si="91"/>
        <v>83.9200976977466</v>
      </c>
      <c r="AF193" s="360">
        <f t="shared" si="104"/>
        <v>17106.690544774472</v>
      </c>
      <c r="AH193" s="359">
        <f t="shared" si="83"/>
        <v>46783</v>
      </c>
      <c r="AI193" s="334">
        <f t="shared" si="105"/>
        <v>181</v>
      </c>
      <c r="AJ193" s="335">
        <f t="shared" si="106"/>
        <v>227.1751863850151</v>
      </c>
      <c r="AK193" s="335"/>
      <c r="AL193" s="335">
        <f t="shared" si="86"/>
        <v>143.2550886872685</v>
      </c>
      <c r="AM193" s="335">
        <f t="shared" si="92"/>
        <v>83.9200976977466</v>
      </c>
      <c r="AN193" s="360">
        <f t="shared" si="107"/>
        <v>17106.690544774472</v>
      </c>
    </row>
    <row r="194" spans="1:40" ht="12.75">
      <c r="A194" s="359">
        <f t="shared" si="62"/>
        <v>46812</v>
      </c>
      <c r="B194" s="334">
        <f t="shared" si="93"/>
        <v>182</v>
      </c>
      <c r="C194" s="335">
        <f t="shared" si="94"/>
        <v>227.1751863850151</v>
      </c>
      <c r="D194" s="335"/>
      <c r="E194" s="335">
        <f t="shared" si="65"/>
        <v>142.55575453978727</v>
      </c>
      <c r="F194" s="335">
        <f t="shared" si="88"/>
        <v>84.61943184522784</v>
      </c>
      <c r="G194" s="360">
        <f t="shared" si="95"/>
        <v>17022.071112929243</v>
      </c>
      <c r="H194" s="336" t="e">
        <f t="shared" si="67"/>
        <v>#VALUE!</v>
      </c>
      <c r="I194" s="333"/>
      <c r="J194" s="359">
        <f t="shared" si="68"/>
        <v>46812</v>
      </c>
      <c r="K194" s="334">
        <f t="shared" si="96"/>
        <v>182</v>
      </c>
      <c r="L194" s="335">
        <f t="shared" si="97"/>
        <v>227.1751863850151</v>
      </c>
      <c r="M194" s="335"/>
      <c r="N194" s="335">
        <f t="shared" si="71"/>
        <v>142.55575453978727</v>
      </c>
      <c r="O194" s="335">
        <f t="shared" si="89"/>
        <v>84.61943184522784</v>
      </c>
      <c r="P194" s="360">
        <f t="shared" si="98"/>
        <v>17022.071112929243</v>
      </c>
      <c r="R194" s="359">
        <f t="shared" si="73"/>
        <v>46812</v>
      </c>
      <c r="S194" s="334">
        <f t="shared" si="99"/>
        <v>182</v>
      </c>
      <c r="T194" s="335">
        <f t="shared" si="100"/>
        <v>227.1751863850151</v>
      </c>
      <c r="U194" s="335"/>
      <c r="V194" s="335">
        <f t="shared" si="76"/>
        <v>142.55575453978727</v>
      </c>
      <c r="W194" s="335">
        <f t="shared" si="90"/>
        <v>84.61943184522784</v>
      </c>
      <c r="X194" s="360">
        <f t="shared" si="101"/>
        <v>17022.071112929243</v>
      </c>
      <c r="Z194" s="359">
        <f t="shared" si="78"/>
        <v>46812</v>
      </c>
      <c r="AA194" s="334">
        <f t="shared" si="102"/>
        <v>182</v>
      </c>
      <c r="AB194" s="335">
        <f t="shared" si="103"/>
        <v>227.1751863850151</v>
      </c>
      <c r="AC194" s="335"/>
      <c r="AD194" s="335">
        <f t="shared" si="81"/>
        <v>142.55575453978727</v>
      </c>
      <c r="AE194" s="335">
        <f t="shared" si="91"/>
        <v>84.61943184522784</v>
      </c>
      <c r="AF194" s="360">
        <f t="shared" si="104"/>
        <v>17022.071112929243</v>
      </c>
      <c r="AH194" s="359">
        <f t="shared" si="83"/>
        <v>46812</v>
      </c>
      <c r="AI194" s="334">
        <f t="shared" si="105"/>
        <v>182</v>
      </c>
      <c r="AJ194" s="335">
        <f t="shared" si="106"/>
        <v>227.1751863850151</v>
      </c>
      <c r="AK194" s="335"/>
      <c r="AL194" s="335">
        <f t="shared" si="86"/>
        <v>142.55575453978727</v>
      </c>
      <c r="AM194" s="335">
        <f t="shared" si="92"/>
        <v>84.61943184522784</v>
      </c>
      <c r="AN194" s="360">
        <f t="shared" si="107"/>
        <v>17022.071112929243</v>
      </c>
    </row>
    <row r="195" spans="1:40" ht="12.75">
      <c r="A195" s="359">
        <f t="shared" si="62"/>
        <v>46843</v>
      </c>
      <c r="B195" s="334">
        <f t="shared" si="93"/>
        <v>183</v>
      </c>
      <c r="C195" s="335">
        <f t="shared" si="94"/>
        <v>227.1751863850151</v>
      </c>
      <c r="D195" s="335"/>
      <c r="E195" s="335">
        <f t="shared" si="65"/>
        <v>141.8505926077437</v>
      </c>
      <c r="F195" s="335">
        <f t="shared" si="88"/>
        <v>85.32459377727142</v>
      </c>
      <c r="G195" s="360">
        <f t="shared" si="95"/>
        <v>16936.746519151973</v>
      </c>
      <c r="H195" s="336" t="e">
        <f t="shared" si="67"/>
        <v>#VALUE!</v>
      </c>
      <c r="I195" s="333"/>
      <c r="J195" s="359">
        <f t="shared" si="68"/>
        <v>46843</v>
      </c>
      <c r="K195" s="334">
        <f t="shared" si="96"/>
        <v>183</v>
      </c>
      <c r="L195" s="335">
        <f t="shared" si="97"/>
        <v>227.1751863850151</v>
      </c>
      <c r="M195" s="335"/>
      <c r="N195" s="335">
        <f t="shared" si="71"/>
        <v>141.8505926077437</v>
      </c>
      <c r="O195" s="335">
        <f t="shared" si="89"/>
        <v>85.32459377727142</v>
      </c>
      <c r="P195" s="360">
        <f t="shared" si="98"/>
        <v>16936.746519151973</v>
      </c>
      <c r="R195" s="359">
        <f t="shared" si="73"/>
        <v>46843</v>
      </c>
      <c r="S195" s="334">
        <f t="shared" si="99"/>
        <v>183</v>
      </c>
      <c r="T195" s="335">
        <f t="shared" si="100"/>
        <v>227.1751863850151</v>
      </c>
      <c r="U195" s="335"/>
      <c r="V195" s="335">
        <f t="shared" si="76"/>
        <v>141.8505926077437</v>
      </c>
      <c r="W195" s="335">
        <f t="shared" si="90"/>
        <v>85.32459377727142</v>
      </c>
      <c r="X195" s="360">
        <f t="shared" si="101"/>
        <v>16936.746519151973</v>
      </c>
      <c r="Z195" s="359">
        <f t="shared" si="78"/>
        <v>46843</v>
      </c>
      <c r="AA195" s="334">
        <f t="shared" si="102"/>
        <v>183</v>
      </c>
      <c r="AB195" s="335">
        <f t="shared" si="103"/>
        <v>227.1751863850151</v>
      </c>
      <c r="AC195" s="335"/>
      <c r="AD195" s="335">
        <f t="shared" si="81"/>
        <v>141.8505926077437</v>
      </c>
      <c r="AE195" s="335">
        <f t="shared" si="91"/>
        <v>85.32459377727142</v>
      </c>
      <c r="AF195" s="360">
        <f t="shared" si="104"/>
        <v>16936.746519151973</v>
      </c>
      <c r="AH195" s="359">
        <f t="shared" si="83"/>
        <v>46843</v>
      </c>
      <c r="AI195" s="334">
        <f t="shared" si="105"/>
        <v>183</v>
      </c>
      <c r="AJ195" s="335">
        <f t="shared" si="106"/>
        <v>227.1751863850151</v>
      </c>
      <c r="AK195" s="335"/>
      <c r="AL195" s="335">
        <f t="shared" si="86"/>
        <v>141.8505926077437</v>
      </c>
      <c r="AM195" s="335">
        <f t="shared" si="92"/>
        <v>85.32459377727142</v>
      </c>
      <c r="AN195" s="360">
        <f t="shared" si="107"/>
        <v>16936.746519151973</v>
      </c>
    </row>
    <row r="196" spans="1:40" ht="12.75">
      <c r="A196" s="359">
        <f t="shared" si="62"/>
        <v>46873</v>
      </c>
      <c r="B196" s="334">
        <f t="shared" si="93"/>
        <v>184</v>
      </c>
      <c r="C196" s="335">
        <f t="shared" si="94"/>
        <v>227.1751863850151</v>
      </c>
      <c r="D196" s="335"/>
      <c r="E196" s="335">
        <f t="shared" si="65"/>
        <v>141.13955432626645</v>
      </c>
      <c r="F196" s="335">
        <f t="shared" si="88"/>
        <v>86.03563205874866</v>
      </c>
      <c r="G196" s="360">
        <f t="shared" si="95"/>
        <v>16850.710887093224</v>
      </c>
      <c r="H196" s="336" t="e">
        <f t="shared" si="67"/>
        <v>#VALUE!</v>
      </c>
      <c r="I196" s="333"/>
      <c r="J196" s="359">
        <f t="shared" si="68"/>
        <v>46873</v>
      </c>
      <c r="K196" s="334">
        <f t="shared" si="96"/>
        <v>184</v>
      </c>
      <c r="L196" s="335">
        <f t="shared" si="97"/>
        <v>227.1751863850151</v>
      </c>
      <c r="M196" s="335"/>
      <c r="N196" s="335">
        <f t="shared" si="71"/>
        <v>141.13955432626645</v>
      </c>
      <c r="O196" s="335">
        <f t="shared" si="89"/>
        <v>86.03563205874866</v>
      </c>
      <c r="P196" s="360">
        <f t="shared" si="98"/>
        <v>16850.710887093224</v>
      </c>
      <c r="R196" s="359">
        <f t="shared" si="73"/>
        <v>46873</v>
      </c>
      <c r="S196" s="334">
        <f t="shared" si="99"/>
        <v>184</v>
      </c>
      <c r="T196" s="335">
        <f t="shared" si="100"/>
        <v>227.1751863850151</v>
      </c>
      <c r="U196" s="335"/>
      <c r="V196" s="335">
        <f t="shared" si="76"/>
        <v>141.13955432626645</v>
      </c>
      <c r="W196" s="335">
        <f t="shared" si="90"/>
        <v>86.03563205874866</v>
      </c>
      <c r="X196" s="360">
        <f t="shared" si="101"/>
        <v>16850.710887093224</v>
      </c>
      <c r="Z196" s="359">
        <f t="shared" si="78"/>
        <v>46873</v>
      </c>
      <c r="AA196" s="334">
        <f t="shared" si="102"/>
        <v>184</v>
      </c>
      <c r="AB196" s="335">
        <f t="shared" si="103"/>
        <v>227.1751863850151</v>
      </c>
      <c r="AC196" s="335"/>
      <c r="AD196" s="335">
        <f t="shared" si="81"/>
        <v>141.13955432626645</v>
      </c>
      <c r="AE196" s="335">
        <f t="shared" si="91"/>
        <v>86.03563205874866</v>
      </c>
      <c r="AF196" s="360">
        <f t="shared" si="104"/>
        <v>16850.710887093224</v>
      </c>
      <c r="AH196" s="359">
        <f t="shared" si="83"/>
        <v>46873</v>
      </c>
      <c r="AI196" s="334">
        <f t="shared" si="105"/>
        <v>184</v>
      </c>
      <c r="AJ196" s="335">
        <f t="shared" si="106"/>
        <v>227.1751863850151</v>
      </c>
      <c r="AK196" s="335"/>
      <c r="AL196" s="335">
        <f t="shared" si="86"/>
        <v>141.13955432626645</v>
      </c>
      <c r="AM196" s="335">
        <f t="shared" si="92"/>
        <v>86.03563205874866</v>
      </c>
      <c r="AN196" s="360">
        <f t="shared" si="107"/>
        <v>16850.710887093224</v>
      </c>
    </row>
    <row r="197" spans="1:40" ht="12.75">
      <c r="A197" s="359">
        <f t="shared" si="62"/>
        <v>46904</v>
      </c>
      <c r="B197" s="334">
        <f t="shared" si="93"/>
        <v>185</v>
      </c>
      <c r="C197" s="335">
        <f t="shared" si="94"/>
        <v>227.1751863850151</v>
      </c>
      <c r="D197" s="335"/>
      <c r="E197" s="335">
        <f t="shared" si="65"/>
        <v>140.42259072577687</v>
      </c>
      <c r="F197" s="335">
        <f t="shared" si="88"/>
        <v>86.75259565923824</v>
      </c>
      <c r="G197" s="360">
        <f t="shared" si="95"/>
        <v>16763.958291433984</v>
      </c>
      <c r="H197" s="336" t="e">
        <f t="shared" si="67"/>
        <v>#VALUE!</v>
      </c>
      <c r="I197" s="333"/>
      <c r="J197" s="359">
        <f t="shared" si="68"/>
        <v>46904</v>
      </c>
      <c r="K197" s="334">
        <f t="shared" si="96"/>
        <v>185</v>
      </c>
      <c r="L197" s="335">
        <f t="shared" si="97"/>
        <v>227.1751863850151</v>
      </c>
      <c r="M197" s="335"/>
      <c r="N197" s="335">
        <f t="shared" si="71"/>
        <v>140.42259072577687</v>
      </c>
      <c r="O197" s="335">
        <f t="shared" si="89"/>
        <v>86.75259565923824</v>
      </c>
      <c r="P197" s="360">
        <f t="shared" si="98"/>
        <v>16763.958291433984</v>
      </c>
      <c r="R197" s="359">
        <f t="shared" si="73"/>
        <v>46904</v>
      </c>
      <c r="S197" s="334">
        <f t="shared" si="99"/>
        <v>185</v>
      </c>
      <c r="T197" s="335">
        <f t="shared" si="100"/>
        <v>227.1751863850151</v>
      </c>
      <c r="U197" s="335"/>
      <c r="V197" s="335">
        <f t="shared" si="76"/>
        <v>140.42259072577687</v>
      </c>
      <c r="W197" s="335">
        <f t="shared" si="90"/>
        <v>86.75259565923824</v>
      </c>
      <c r="X197" s="360">
        <f t="shared" si="101"/>
        <v>16763.958291433984</v>
      </c>
      <c r="Z197" s="359">
        <f t="shared" si="78"/>
        <v>46904</v>
      </c>
      <c r="AA197" s="334">
        <f t="shared" si="102"/>
        <v>185</v>
      </c>
      <c r="AB197" s="335">
        <f t="shared" si="103"/>
        <v>227.1751863850151</v>
      </c>
      <c r="AC197" s="335"/>
      <c r="AD197" s="335">
        <f t="shared" si="81"/>
        <v>140.42259072577687</v>
      </c>
      <c r="AE197" s="335">
        <f t="shared" si="91"/>
        <v>86.75259565923824</v>
      </c>
      <c r="AF197" s="360">
        <f t="shared" si="104"/>
        <v>16763.958291433984</v>
      </c>
      <c r="AH197" s="359">
        <f t="shared" si="83"/>
        <v>46904</v>
      </c>
      <c r="AI197" s="334">
        <f t="shared" si="105"/>
        <v>185</v>
      </c>
      <c r="AJ197" s="335">
        <f t="shared" si="106"/>
        <v>227.1751863850151</v>
      </c>
      <c r="AK197" s="335"/>
      <c r="AL197" s="335">
        <f t="shared" si="86"/>
        <v>140.42259072577687</v>
      </c>
      <c r="AM197" s="335">
        <f t="shared" si="92"/>
        <v>86.75259565923824</v>
      </c>
      <c r="AN197" s="360">
        <f t="shared" si="107"/>
        <v>16763.958291433984</v>
      </c>
    </row>
    <row r="198" spans="1:40" ht="12.75">
      <c r="A198" s="359">
        <f t="shared" si="62"/>
        <v>46934</v>
      </c>
      <c r="B198" s="334">
        <f t="shared" si="93"/>
        <v>186</v>
      </c>
      <c r="C198" s="335">
        <f t="shared" si="94"/>
        <v>227.1751863850151</v>
      </c>
      <c r="D198" s="335"/>
      <c r="E198" s="335">
        <f t="shared" si="65"/>
        <v>139.69965242861653</v>
      </c>
      <c r="F198" s="335">
        <f t="shared" si="88"/>
        <v>87.47553395639858</v>
      </c>
      <c r="G198" s="360">
        <f t="shared" si="95"/>
        <v>16676.482757477585</v>
      </c>
      <c r="H198" s="336" t="e">
        <f t="shared" si="67"/>
        <v>#VALUE!</v>
      </c>
      <c r="I198" s="333"/>
      <c r="J198" s="359">
        <f t="shared" si="68"/>
        <v>46934</v>
      </c>
      <c r="K198" s="334">
        <f t="shared" si="96"/>
        <v>186</v>
      </c>
      <c r="L198" s="335">
        <f t="shared" si="97"/>
        <v>227.1751863850151</v>
      </c>
      <c r="M198" s="335"/>
      <c r="N198" s="335">
        <f t="shared" si="71"/>
        <v>139.69965242861653</v>
      </c>
      <c r="O198" s="335">
        <f t="shared" si="89"/>
        <v>87.47553395639858</v>
      </c>
      <c r="P198" s="360">
        <f t="shared" si="98"/>
        <v>16676.482757477585</v>
      </c>
      <c r="R198" s="359">
        <f t="shared" si="73"/>
        <v>46934</v>
      </c>
      <c r="S198" s="334">
        <f t="shared" si="99"/>
        <v>186</v>
      </c>
      <c r="T198" s="335">
        <f t="shared" si="100"/>
        <v>227.1751863850151</v>
      </c>
      <c r="U198" s="335"/>
      <c r="V198" s="335">
        <f t="shared" si="76"/>
        <v>139.69965242861653</v>
      </c>
      <c r="W198" s="335">
        <f t="shared" si="90"/>
        <v>87.47553395639858</v>
      </c>
      <c r="X198" s="360">
        <f t="shared" si="101"/>
        <v>16676.482757477585</v>
      </c>
      <c r="Z198" s="359">
        <f t="shared" si="78"/>
        <v>46934</v>
      </c>
      <c r="AA198" s="334">
        <f t="shared" si="102"/>
        <v>186</v>
      </c>
      <c r="AB198" s="335">
        <f t="shared" si="103"/>
        <v>227.1751863850151</v>
      </c>
      <c r="AC198" s="335"/>
      <c r="AD198" s="335">
        <f t="shared" si="81"/>
        <v>139.69965242861653</v>
      </c>
      <c r="AE198" s="335">
        <f t="shared" si="91"/>
        <v>87.47553395639858</v>
      </c>
      <c r="AF198" s="360">
        <f t="shared" si="104"/>
        <v>16676.482757477585</v>
      </c>
      <c r="AH198" s="359">
        <f t="shared" si="83"/>
        <v>46934</v>
      </c>
      <c r="AI198" s="334">
        <f t="shared" si="105"/>
        <v>186</v>
      </c>
      <c r="AJ198" s="335">
        <f t="shared" si="106"/>
        <v>227.1751863850151</v>
      </c>
      <c r="AK198" s="335"/>
      <c r="AL198" s="335">
        <f t="shared" si="86"/>
        <v>139.69965242861653</v>
      </c>
      <c r="AM198" s="335">
        <f t="shared" si="92"/>
        <v>87.47553395639858</v>
      </c>
      <c r="AN198" s="360">
        <f t="shared" si="107"/>
        <v>16676.482757477585</v>
      </c>
    </row>
    <row r="199" spans="1:40" ht="12.75">
      <c r="A199" s="359">
        <f t="shared" si="62"/>
        <v>46965</v>
      </c>
      <c r="B199" s="334">
        <f t="shared" si="93"/>
        <v>187</v>
      </c>
      <c r="C199" s="335">
        <f t="shared" si="94"/>
        <v>227.1751863850151</v>
      </c>
      <c r="D199" s="335"/>
      <c r="E199" s="335">
        <f t="shared" si="65"/>
        <v>138.97068964564653</v>
      </c>
      <c r="F199" s="335">
        <f t="shared" si="88"/>
        <v>88.20449673936858</v>
      </c>
      <c r="G199" s="360">
        <f t="shared" si="95"/>
        <v>16588.278260738214</v>
      </c>
      <c r="H199" s="336" t="e">
        <f t="shared" si="67"/>
        <v>#VALUE!</v>
      </c>
      <c r="I199" s="333"/>
      <c r="J199" s="359">
        <f t="shared" si="68"/>
        <v>46965</v>
      </c>
      <c r="K199" s="334">
        <f t="shared" si="96"/>
        <v>187</v>
      </c>
      <c r="L199" s="335">
        <f t="shared" si="97"/>
        <v>227.1751863850151</v>
      </c>
      <c r="M199" s="335"/>
      <c r="N199" s="335">
        <f t="shared" si="71"/>
        <v>138.97068964564653</v>
      </c>
      <c r="O199" s="335">
        <f t="shared" si="89"/>
        <v>88.20449673936858</v>
      </c>
      <c r="P199" s="360">
        <f t="shared" si="98"/>
        <v>16588.278260738214</v>
      </c>
      <c r="R199" s="359">
        <f t="shared" si="73"/>
        <v>46965</v>
      </c>
      <c r="S199" s="334">
        <f t="shared" si="99"/>
        <v>187</v>
      </c>
      <c r="T199" s="335">
        <f t="shared" si="100"/>
        <v>227.1751863850151</v>
      </c>
      <c r="U199" s="335"/>
      <c r="V199" s="335">
        <f t="shared" si="76"/>
        <v>138.97068964564653</v>
      </c>
      <c r="W199" s="335">
        <f t="shared" si="90"/>
        <v>88.20449673936858</v>
      </c>
      <c r="X199" s="360">
        <f t="shared" si="101"/>
        <v>16588.278260738214</v>
      </c>
      <c r="Z199" s="359">
        <f t="shared" si="78"/>
        <v>46965</v>
      </c>
      <c r="AA199" s="334">
        <f t="shared" si="102"/>
        <v>187</v>
      </c>
      <c r="AB199" s="335">
        <f t="shared" si="103"/>
        <v>227.1751863850151</v>
      </c>
      <c r="AC199" s="335"/>
      <c r="AD199" s="335">
        <f t="shared" si="81"/>
        <v>138.97068964564653</v>
      </c>
      <c r="AE199" s="335">
        <f t="shared" si="91"/>
        <v>88.20449673936858</v>
      </c>
      <c r="AF199" s="360">
        <f t="shared" si="104"/>
        <v>16588.278260738214</v>
      </c>
      <c r="AH199" s="359">
        <f t="shared" si="83"/>
        <v>46965</v>
      </c>
      <c r="AI199" s="334">
        <f t="shared" si="105"/>
        <v>187</v>
      </c>
      <c r="AJ199" s="335">
        <f t="shared" si="106"/>
        <v>227.1751863850151</v>
      </c>
      <c r="AK199" s="335"/>
      <c r="AL199" s="335">
        <f t="shared" si="86"/>
        <v>138.97068964564653</v>
      </c>
      <c r="AM199" s="335">
        <f t="shared" si="92"/>
        <v>88.20449673936858</v>
      </c>
      <c r="AN199" s="360">
        <f t="shared" si="107"/>
        <v>16588.278260738214</v>
      </c>
    </row>
    <row r="200" spans="1:40" ht="12.75">
      <c r="A200" s="359">
        <f t="shared" si="62"/>
        <v>46996</v>
      </c>
      <c r="B200" s="334">
        <f t="shared" si="93"/>
        <v>188</v>
      </c>
      <c r="C200" s="335">
        <f t="shared" si="94"/>
        <v>227.1751863850151</v>
      </c>
      <c r="D200" s="335"/>
      <c r="E200" s="335">
        <f t="shared" si="65"/>
        <v>138.23565217281845</v>
      </c>
      <c r="F200" s="335">
        <f t="shared" si="88"/>
        <v>88.93953421219666</v>
      </c>
      <c r="G200" s="360">
        <f t="shared" si="95"/>
        <v>16499.338726526017</v>
      </c>
      <c r="H200" s="336" t="e">
        <f t="shared" si="67"/>
        <v>#VALUE!</v>
      </c>
      <c r="I200" s="333"/>
      <c r="J200" s="359">
        <f t="shared" si="68"/>
        <v>46996</v>
      </c>
      <c r="K200" s="334">
        <f t="shared" si="96"/>
        <v>188</v>
      </c>
      <c r="L200" s="335">
        <f t="shared" si="97"/>
        <v>227.1751863850151</v>
      </c>
      <c r="M200" s="335"/>
      <c r="N200" s="335">
        <f t="shared" si="71"/>
        <v>138.23565217281845</v>
      </c>
      <c r="O200" s="335">
        <f t="shared" si="89"/>
        <v>88.93953421219666</v>
      </c>
      <c r="P200" s="360">
        <f t="shared" si="98"/>
        <v>16499.338726526017</v>
      </c>
      <c r="R200" s="359">
        <f t="shared" si="73"/>
        <v>46996</v>
      </c>
      <c r="S200" s="334">
        <f t="shared" si="99"/>
        <v>188</v>
      </c>
      <c r="T200" s="335">
        <f t="shared" si="100"/>
        <v>227.1751863850151</v>
      </c>
      <c r="U200" s="335"/>
      <c r="V200" s="335">
        <f t="shared" si="76"/>
        <v>138.23565217281845</v>
      </c>
      <c r="W200" s="335">
        <f t="shared" si="90"/>
        <v>88.93953421219666</v>
      </c>
      <c r="X200" s="360">
        <f t="shared" si="101"/>
        <v>16499.338726526017</v>
      </c>
      <c r="Z200" s="359">
        <f t="shared" si="78"/>
        <v>46996</v>
      </c>
      <c r="AA200" s="334">
        <f t="shared" si="102"/>
        <v>188</v>
      </c>
      <c r="AB200" s="335">
        <f t="shared" si="103"/>
        <v>227.1751863850151</v>
      </c>
      <c r="AC200" s="335"/>
      <c r="AD200" s="335">
        <f t="shared" si="81"/>
        <v>138.23565217281845</v>
      </c>
      <c r="AE200" s="335">
        <f t="shared" si="91"/>
        <v>88.93953421219666</v>
      </c>
      <c r="AF200" s="360">
        <f t="shared" si="104"/>
        <v>16499.338726526017</v>
      </c>
      <c r="AH200" s="359">
        <f t="shared" si="83"/>
        <v>46996</v>
      </c>
      <c r="AI200" s="334">
        <f t="shared" si="105"/>
        <v>188</v>
      </c>
      <c r="AJ200" s="335">
        <f t="shared" si="106"/>
        <v>227.1751863850151</v>
      </c>
      <c r="AK200" s="335"/>
      <c r="AL200" s="335">
        <f t="shared" si="86"/>
        <v>138.23565217281845</v>
      </c>
      <c r="AM200" s="335">
        <f t="shared" si="92"/>
        <v>88.93953421219666</v>
      </c>
      <c r="AN200" s="360">
        <f t="shared" si="107"/>
        <v>16499.338726526017</v>
      </c>
    </row>
    <row r="201" spans="1:40" ht="12.75">
      <c r="A201" s="359">
        <f t="shared" si="62"/>
        <v>47026</v>
      </c>
      <c r="B201" s="334">
        <f t="shared" si="93"/>
        <v>189</v>
      </c>
      <c r="C201" s="335">
        <f t="shared" si="94"/>
        <v>227.1751863850151</v>
      </c>
      <c r="D201" s="335"/>
      <c r="E201" s="335">
        <f t="shared" si="65"/>
        <v>137.4944893877168</v>
      </c>
      <c r="F201" s="335">
        <f t="shared" si="88"/>
        <v>89.6806969972983</v>
      </c>
      <c r="G201" s="360">
        <f t="shared" si="95"/>
        <v>16409.65802952872</v>
      </c>
      <c r="H201" s="336" t="e">
        <f t="shared" si="67"/>
        <v>#VALUE!</v>
      </c>
      <c r="I201" s="333"/>
      <c r="J201" s="359">
        <f t="shared" si="68"/>
        <v>47026</v>
      </c>
      <c r="K201" s="334">
        <f t="shared" si="96"/>
        <v>189</v>
      </c>
      <c r="L201" s="335">
        <f t="shared" si="97"/>
        <v>227.1751863850151</v>
      </c>
      <c r="M201" s="335"/>
      <c r="N201" s="335">
        <f t="shared" si="71"/>
        <v>137.4944893877168</v>
      </c>
      <c r="O201" s="335">
        <f t="shared" si="89"/>
        <v>89.6806969972983</v>
      </c>
      <c r="P201" s="360">
        <f t="shared" si="98"/>
        <v>16409.65802952872</v>
      </c>
      <c r="R201" s="359">
        <f t="shared" si="73"/>
        <v>47026</v>
      </c>
      <c r="S201" s="334">
        <f t="shared" si="99"/>
        <v>189</v>
      </c>
      <c r="T201" s="335">
        <f t="shared" si="100"/>
        <v>227.1751863850151</v>
      </c>
      <c r="U201" s="335"/>
      <c r="V201" s="335">
        <f t="shared" si="76"/>
        <v>137.4944893877168</v>
      </c>
      <c r="W201" s="335">
        <f t="shared" si="90"/>
        <v>89.6806969972983</v>
      </c>
      <c r="X201" s="360">
        <f t="shared" si="101"/>
        <v>16409.65802952872</v>
      </c>
      <c r="Z201" s="359">
        <f t="shared" si="78"/>
        <v>47026</v>
      </c>
      <c r="AA201" s="334">
        <f t="shared" si="102"/>
        <v>189</v>
      </c>
      <c r="AB201" s="335">
        <f t="shared" si="103"/>
        <v>227.1751863850151</v>
      </c>
      <c r="AC201" s="335"/>
      <c r="AD201" s="335">
        <f t="shared" si="81"/>
        <v>137.4944893877168</v>
      </c>
      <c r="AE201" s="335">
        <f t="shared" si="91"/>
        <v>89.6806969972983</v>
      </c>
      <c r="AF201" s="360">
        <f t="shared" si="104"/>
        <v>16409.65802952872</v>
      </c>
      <c r="AH201" s="359">
        <f t="shared" si="83"/>
        <v>47026</v>
      </c>
      <c r="AI201" s="334">
        <f t="shared" si="105"/>
        <v>189</v>
      </c>
      <c r="AJ201" s="335">
        <f t="shared" si="106"/>
        <v>227.1751863850151</v>
      </c>
      <c r="AK201" s="335"/>
      <c r="AL201" s="335">
        <f t="shared" si="86"/>
        <v>137.4944893877168</v>
      </c>
      <c r="AM201" s="335">
        <f t="shared" si="92"/>
        <v>89.6806969972983</v>
      </c>
      <c r="AN201" s="360">
        <f t="shared" si="107"/>
        <v>16409.65802952872</v>
      </c>
    </row>
    <row r="202" spans="1:40" ht="12.75">
      <c r="A202" s="359">
        <f t="shared" si="62"/>
        <v>47057</v>
      </c>
      <c r="B202" s="334">
        <f t="shared" si="93"/>
        <v>190</v>
      </c>
      <c r="C202" s="335">
        <f t="shared" si="94"/>
        <v>227.1751863850151</v>
      </c>
      <c r="D202" s="335"/>
      <c r="E202" s="335">
        <f t="shared" si="65"/>
        <v>136.74715024607266</v>
      </c>
      <c r="F202" s="335">
        <f t="shared" si="88"/>
        <v>90.42803613894245</v>
      </c>
      <c r="G202" s="360">
        <f t="shared" si="95"/>
        <v>16319.229993389778</v>
      </c>
      <c r="H202" s="336" t="e">
        <f t="shared" si="67"/>
        <v>#VALUE!</v>
      </c>
      <c r="I202" s="333"/>
      <c r="J202" s="359">
        <f t="shared" si="68"/>
        <v>47057</v>
      </c>
      <c r="K202" s="334">
        <f t="shared" si="96"/>
        <v>190</v>
      </c>
      <c r="L202" s="335">
        <f t="shared" si="97"/>
        <v>227.1751863850151</v>
      </c>
      <c r="M202" s="335"/>
      <c r="N202" s="335">
        <f t="shared" si="71"/>
        <v>136.74715024607266</v>
      </c>
      <c r="O202" s="335">
        <f t="shared" si="89"/>
        <v>90.42803613894245</v>
      </c>
      <c r="P202" s="360">
        <f t="shared" si="98"/>
        <v>16319.229993389778</v>
      </c>
      <c r="R202" s="359">
        <f t="shared" si="73"/>
        <v>47057</v>
      </c>
      <c r="S202" s="334">
        <f t="shared" si="99"/>
        <v>190</v>
      </c>
      <c r="T202" s="335">
        <f t="shared" si="100"/>
        <v>227.1751863850151</v>
      </c>
      <c r="U202" s="335"/>
      <c r="V202" s="335">
        <f t="shared" si="76"/>
        <v>136.74715024607266</v>
      </c>
      <c r="W202" s="335">
        <f t="shared" si="90"/>
        <v>90.42803613894245</v>
      </c>
      <c r="X202" s="360">
        <f t="shared" si="101"/>
        <v>16319.229993389778</v>
      </c>
      <c r="Z202" s="359">
        <f t="shared" si="78"/>
        <v>47057</v>
      </c>
      <c r="AA202" s="334">
        <f t="shared" si="102"/>
        <v>190</v>
      </c>
      <c r="AB202" s="335">
        <f t="shared" si="103"/>
        <v>227.1751863850151</v>
      </c>
      <c r="AC202" s="335"/>
      <c r="AD202" s="335">
        <f t="shared" si="81"/>
        <v>136.74715024607266</v>
      </c>
      <c r="AE202" s="335">
        <f t="shared" si="91"/>
        <v>90.42803613894245</v>
      </c>
      <c r="AF202" s="360">
        <f t="shared" si="104"/>
        <v>16319.229993389778</v>
      </c>
      <c r="AH202" s="359">
        <f t="shared" si="83"/>
        <v>47057</v>
      </c>
      <c r="AI202" s="334">
        <f t="shared" si="105"/>
        <v>190</v>
      </c>
      <c r="AJ202" s="335">
        <f t="shared" si="106"/>
        <v>227.1751863850151</v>
      </c>
      <c r="AK202" s="335"/>
      <c r="AL202" s="335">
        <f t="shared" si="86"/>
        <v>136.74715024607266</v>
      </c>
      <c r="AM202" s="335">
        <f t="shared" si="92"/>
        <v>90.42803613894245</v>
      </c>
      <c r="AN202" s="360">
        <f t="shared" si="107"/>
        <v>16319.229993389778</v>
      </c>
    </row>
    <row r="203" spans="1:40" ht="12.75">
      <c r="A203" s="359">
        <f t="shared" si="62"/>
        <v>47087</v>
      </c>
      <c r="B203" s="334">
        <f t="shared" si="93"/>
        <v>191</v>
      </c>
      <c r="C203" s="335">
        <f t="shared" si="94"/>
        <v>227.1751863850151</v>
      </c>
      <c r="D203" s="335"/>
      <c r="E203" s="335">
        <f t="shared" si="65"/>
        <v>135.99358327824814</v>
      </c>
      <c r="F203" s="335">
        <f t="shared" si="88"/>
        <v>91.18160310676697</v>
      </c>
      <c r="G203" s="360">
        <f t="shared" si="95"/>
        <v>16228.048390283011</v>
      </c>
      <c r="H203" s="336" t="e">
        <f t="shared" si="67"/>
        <v>#VALUE!</v>
      </c>
      <c r="I203" s="333"/>
      <c r="J203" s="359">
        <f t="shared" si="68"/>
        <v>47087</v>
      </c>
      <c r="K203" s="334">
        <f t="shared" si="96"/>
        <v>191</v>
      </c>
      <c r="L203" s="335">
        <f t="shared" si="97"/>
        <v>227.1751863850151</v>
      </c>
      <c r="M203" s="335"/>
      <c r="N203" s="335">
        <f t="shared" si="71"/>
        <v>135.99358327824814</v>
      </c>
      <c r="O203" s="335">
        <f t="shared" si="89"/>
        <v>91.18160310676697</v>
      </c>
      <c r="P203" s="360">
        <f t="shared" si="98"/>
        <v>16228.048390283011</v>
      </c>
      <c r="R203" s="359">
        <f t="shared" si="73"/>
        <v>47087</v>
      </c>
      <c r="S203" s="334">
        <f t="shared" si="99"/>
        <v>191</v>
      </c>
      <c r="T203" s="335">
        <f t="shared" si="100"/>
        <v>227.1751863850151</v>
      </c>
      <c r="U203" s="335"/>
      <c r="V203" s="335">
        <f t="shared" si="76"/>
        <v>135.99358327824814</v>
      </c>
      <c r="W203" s="335">
        <f t="shared" si="90"/>
        <v>91.18160310676697</v>
      </c>
      <c r="X203" s="360">
        <f t="shared" si="101"/>
        <v>16228.048390283011</v>
      </c>
      <c r="Z203" s="359">
        <f t="shared" si="78"/>
        <v>47087</v>
      </c>
      <c r="AA203" s="334">
        <f t="shared" si="102"/>
        <v>191</v>
      </c>
      <c r="AB203" s="335">
        <f t="shared" si="103"/>
        <v>227.1751863850151</v>
      </c>
      <c r="AC203" s="335"/>
      <c r="AD203" s="335">
        <f t="shared" si="81"/>
        <v>135.99358327824814</v>
      </c>
      <c r="AE203" s="335">
        <f t="shared" si="91"/>
        <v>91.18160310676697</v>
      </c>
      <c r="AF203" s="360">
        <f t="shared" si="104"/>
        <v>16228.048390283011</v>
      </c>
      <c r="AH203" s="359">
        <f t="shared" si="83"/>
        <v>47087</v>
      </c>
      <c r="AI203" s="334">
        <f t="shared" si="105"/>
        <v>191</v>
      </c>
      <c r="AJ203" s="335">
        <f t="shared" si="106"/>
        <v>227.1751863850151</v>
      </c>
      <c r="AK203" s="335"/>
      <c r="AL203" s="335">
        <f t="shared" si="86"/>
        <v>135.99358327824814</v>
      </c>
      <c r="AM203" s="335">
        <f t="shared" si="92"/>
        <v>91.18160310676697</v>
      </c>
      <c r="AN203" s="360">
        <f t="shared" si="107"/>
        <v>16228.048390283011</v>
      </c>
    </row>
    <row r="204" spans="1:40" ht="12.75">
      <c r="A204" s="359">
        <f t="shared" si="62"/>
        <v>47118</v>
      </c>
      <c r="B204" s="334">
        <f t="shared" si="93"/>
        <v>192</v>
      </c>
      <c r="C204" s="335">
        <f t="shared" si="94"/>
        <v>227.1751863850151</v>
      </c>
      <c r="D204" s="335"/>
      <c r="E204" s="335">
        <f t="shared" si="65"/>
        <v>135.23373658569176</v>
      </c>
      <c r="F204" s="335">
        <f t="shared" si="88"/>
        <v>91.94144979932335</v>
      </c>
      <c r="G204" s="360">
        <f t="shared" si="95"/>
        <v>16136.106940483687</v>
      </c>
      <c r="H204" s="336" t="e">
        <f t="shared" si="67"/>
        <v>#VALUE!</v>
      </c>
      <c r="I204" s="333"/>
      <c r="J204" s="359">
        <f t="shared" si="68"/>
        <v>47118</v>
      </c>
      <c r="K204" s="334">
        <f t="shared" si="96"/>
        <v>192</v>
      </c>
      <c r="L204" s="335">
        <f t="shared" si="97"/>
        <v>227.1751863850151</v>
      </c>
      <c r="M204" s="335"/>
      <c r="N204" s="335">
        <f t="shared" si="71"/>
        <v>135.23373658569176</v>
      </c>
      <c r="O204" s="335">
        <f t="shared" si="89"/>
        <v>91.94144979932335</v>
      </c>
      <c r="P204" s="360">
        <f t="shared" si="98"/>
        <v>16136.106940483687</v>
      </c>
      <c r="R204" s="359">
        <f t="shared" si="73"/>
        <v>47118</v>
      </c>
      <c r="S204" s="334">
        <f t="shared" si="99"/>
        <v>192</v>
      </c>
      <c r="T204" s="335">
        <f t="shared" si="100"/>
        <v>227.1751863850151</v>
      </c>
      <c r="U204" s="335"/>
      <c r="V204" s="335">
        <f t="shared" si="76"/>
        <v>135.23373658569176</v>
      </c>
      <c r="W204" s="335">
        <f t="shared" si="90"/>
        <v>91.94144979932335</v>
      </c>
      <c r="X204" s="360">
        <f t="shared" si="101"/>
        <v>16136.106940483687</v>
      </c>
      <c r="Z204" s="359">
        <f t="shared" si="78"/>
        <v>47118</v>
      </c>
      <c r="AA204" s="334">
        <f t="shared" si="102"/>
        <v>192</v>
      </c>
      <c r="AB204" s="335">
        <f t="shared" si="103"/>
        <v>227.1751863850151</v>
      </c>
      <c r="AC204" s="335"/>
      <c r="AD204" s="335">
        <f t="shared" si="81"/>
        <v>135.23373658569176</v>
      </c>
      <c r="AE204" s="335">
        <f t="shared" si="91"/>
        <v>91.94144979932335</v>
      </c>
      <c r="AF204" s="360">
        <f t="shared" si="104"/>
        <v>16136.106940483687</v>
      </c>
      <c r="AH204" s="359">
        <f t="shared" si="83"/>
        <v>47118</v>
      </c>
      <c r="AI204" s="334">
        <f t="shared" si="105"/>
        <v>192</v>
      </c>
      <c r="AJ204" s="335">
        <f t="shared" si="106"/>
        <v>227.1751863850151</v>
      </c>
      <c r="AK204" s="335"/>
      <c r="AL204" s="335">
        <f t="shared" si="86"/>
        <v>135.23373658569176</v>
      </c>
      <c r="AM204" s="335">
        <f t="shared" si="92"/>
        <v>91.94144979932335</v>
      </c>
      <c r="AN204" s="360">
        <f t="shared" si="107"/>
        <v>16136.106940483687</v>
      </c>
    </row>
    <row r="205" spans="1:40" ht="12.75">
      <c r="A205" s="359">
        <f t="shared" si="62"/>
        <v>47149</v>
      </c>
      <c r="B205" s="334">
        <f t="shared" si="93"/>
        <v>193</v>
      </c>
      <c r="C205" s="335">
        <f t="shared" si="94"/>
        <v>227.1751863850151</v>
      </c>
      <c r="D205" s="335"/>
      <c r="E205" s="335">
        <f t="shared" si="65"/>
        <v>134.46755783736407</v>
      </c>
      <c r="F205" s="335">
        <f t="shared" si="88"/>
        <v>92.70762854765104</v>
      </c>
      <c r="G205" s="360">
        <f t="shared" si="95"/>
        <v>16043.399311936037</v>
      </c>
      <c r="H205" s="336" t="e">
        <f t="shared" si="67"/>
        <v>#VALUE!</v>
      </c>
      <c r="I205" s="333"/>
      <c r="J205" s="359">
        <f t="shared" si="68"/>
        <v>47149</v>
      </c>
      <c r="K205" s="334">
        <f t="shared" si="96"/>
        <v>193</v>
      </c>
      <c r="L205" s="335">
        <f t="shared" si="97"/>
        <v>227.1751863850151</v>
      </c>
      <c r="M205" s="335"/>
      <c r="N205" s="335">
        <f t="shared" si="71"/>
        <v>134.46755783736407</v>
      </c>
      <c r="O205" s="335">
        <f t="shared" si="89"/>
        <v>92.70762854765104</v>
      </c>
      <c r="P205" s="360">
        <f t="shared" si="98"/>
        <v>16043.399311936037</v>
      </c>
      <c r="R205" s="359">
        <f t="shared" si="73"/>
        <v>47149</v>
      </c>
      <c r="S205" s="334">
        <f t="shared" si="99"/>
        <v>193</v>
      </c>
      <c r="T205" s="335">
        <f t="shared" si="100"/>
        <v>227.1751863850151</v>
      </c>
      <c r="U205" s="335"/>
      <c r="V205" s="335">
        <f t="shared" si="76"/>
        <v>134.46755783736407</v>
      </c>
      <c r="W205" s="335">
        <f t="shared" si="90"/>
        <v>92.70762854765104</v>
      </c>
      <c r="X205" s="360">
        <f t="shared" si="101"/>
        <v>16043.399311936037</v>
      </c>
      <c r="Z205" s="359">
        <f t="shared" si="78"/>
        <v>47149</v>
      </c>
      <c r="AA205" s="334">
        <f t="shared" si="102"/>
        <v>193</v>
      </c>
      <c r="AB205" s="335">
        <f t="shared" si="103"/>
        <v>227.1751863850151</v>
      </c>
      <c r="AC205" s="335"/>
      <c r="AD205" s="335">
        <f t="shared" si="81"/>
        <v>134.46755783736407</v>
      </c>
      <c r="AE205" s="335">
        <f t="shared" si="91"/>
        <v>92.70762854765104</v>
      </c>
      <c r="AF205" s="360">
        <f t="shared" si="104"/>
        <v>16043.399311936037</v>
      </c>
      <c r="AH205" s="359">
        <f t="shared" si="83"/>
        <v>47149</v>
      </c>
      <c r="AI205" s="334">
        <f t="shared" si="105"/>
        <v>193</v>
      </c>
      <c r="AJ205" s="335">
        <f t="shared" si="106"/>
        <v>227.1751863850151</v>
      </c>
      <c r="AK205" s="335"/>
      <c r="AL205" s="335">
        <f t="shared" si="86"/>
        <v>134.46755783736407</v>
      </c>
      <c r="AM205" s="335">
        <f t="shared" si="92"/>
        <v>92.70762854765104</v>
      </c>
      <c r="AN205" s="360">
        <f t="shared" si="107"/>
        <v>16043.399311936037</v>
      </c>
    </row>
    <row r="206" spans="1:40" ht="12.75">
      <c r="A206" s="359">
        <f aca="true" t="shared" si="108" ref="A206:A269">IF($C$8&lt;27,DATE((YEAR(A205)-1900),MONTH(A205)+1,$C$8),DATE((YEAR(A205)-1900),MONTH(A205)+2,1)-1)</f>
        <v>47177</v>
      </c>
      <c r="B206" s="334">
        <f t="shared" si="93"/>
        <v>194</v>
      </c>
      <c r="C206" s="335">
        <f t="shared" si="94"/>
        <v>227.1751863850151</v>
      </c>
      <c r="D206" s="335"/>
      <c r="E206" s="335">
        <f aca="true" t="shared" si="109" ref="E206:E269">IF(G205&gt;0.5,$D$5*G205,"")</f>
        <v>133.69499426613365</v>
      </c>
      <c r="F206" s="335">
        <f t="shared" si="88"/>
        <v>93.48019211888146</v>
      </c>
      <c r="G206" s="360">
        <f t="shared" si="95"/>
        <v>15949.919119817156</v>
      </c>
      <c r="H206" s="336" t="e">
        <f aca="true" t="shared" si="110" ref="H206:H269">IF(G205&gt;0.5,E206*$J$5,"")</f>
        <v>#VALUE!</v>
      </c>
      <c r="I206" s="333"/>
      <c r="J206" s="359">
        <f aca="true" t="shared" si="111" ref="J206:J269">IF($C$8&lt;27,DATE((YEAR(J205)-1900),MONTH(J205)+1,$C$8),DATE((YEAR(J205)-1900),MONTH(J205)+2,1)-1)</f>
        <v>47177</v>
      </c>
      <c r="K206" s="334">
        <f t="shared" si="96"/>
        <v>194</v>
      </c>
      <c r="L206" s="335">
        <f t="shared" si="97"/>
        <v>227.1751863850151</v>
      </c>
      <c r="M206" s="335"/>
      <c r="N206" s="335">
        <f aca="true" t="shared" si="112" ref="N206:N269">IF(P205&gt;0.5,$D$5*P205,"")</f>
        <v>133.69499426613365</v>
      </c>
      <c r="O206" s="335">
        <f t="shared" si="89"/>
        <v>93.48019211888146</v>
      </c>
      <c r="P206" s="360">
        <f t="shared" si="98"/>
        <v>15949.919119817156</v>
      </c>
      <c r="R206" s="359">
        <f aca="true" t="shared" si="113" ref="R206:R269">IF($C$8&lt;27,DATE((YEAR(R205)-1900),MONTH(R205)+1,$C$8),DATE((YEAR(R205)-1900),MONTH(R205)+2,1)-1)</f>
        <v>47177</v>
      </c>
      <c r="S206" s="334">
        <f t="shared" si="99"/>
        <v>194</v>
      </c>
      <c r="T206" s="335">
        <f t="shared" si="100"/>
        <v>227.1751863850151</v>
      </c>
      <c r="U206" s="335"/>
      <c r="V206" s="335">
        <f aca="true" t="shared" si="114" ref="V206:V269">IF(X205&gt;0.5,$D$5*X205,"")</f>
        <v>133.69499426613365</v>
      </c>
      <c r="W206" s="335">
        <f t="shared" si="90"/>
        <v>93.48019211888146</v>
      </c>
      <c r="X206" s="360">
        <f t="shared" si="101"/>
        <v>15949.919119817156</v>
      </c>
      <c r="Z206" s="359">
        <f aca="true" t="shared" si="115" ref="Z206:Z269">IF($C$8&lt;27,DATE((YEAR(Z205)-1900),MONTH(Z205)+1,$C$8),DATE((YEAR(Z205)-1900),MONTH(Z205)+2,1)-1)</f>
        <v>47177</v>
      </c>
      <c r="AA206" s="334">
        <f t="shared" si="102"/>
        <v>194</v>
      </c>
      <c r="AB206" s="335">
        <f t="shared" si="103"/>
        <v>227.1751863850151</v>
      </c>
      <c r="AC206" s="335"/>
      <c r="AD206" s="335">
        <f aca="true" t="shared" si="116" ref="AD206:AD269">IF(AF205&gt;0.5,$D$5*AF205,"")</f>
        <v>133.69499426613365</v>
      </c>
      <c r="AE206" s="335">
        <f t="shared" si="91"/>
        <v>93.48019211888146</v>
      </c>
      <c r="AF206" s="360">
        <f t="shared" si="104"/>
        <v>15949.919119817156</v>
      </c>
      <c r="AH206" s="359">
        <f aca="true" t="shared" si="117" ref="AH206:AH269">IF($C$8&lt;27,DATE((YEAR(AH205)-1900),MONTH(AH205)+1,$C$8),DATE((YEAR(AH205)-1900),MONTH(AH205)+2,1)-1)</f>
        <v>47177</v>
      </c>
      <c r="AI206" s="334">
        <f t="shared" si="105"/>
        <v>194</v>
      </c>
      <c r="AJ206" s="335">
        <f t="shared" si="106"/>
        <v>227.1751863850151</v>
      </c>
      <c r="AK206" s="335"/>
      <c r="AL206" s="335">
        <f aca="true" t="shared" si="118" ref="AL206:AL269">IF(AN205&gt;0.5,$D$5*AN205,"")</f>
        <v>133.69499426613365</v>
      </c>
      <c r="AM206" s="335">
        <f t="shared" si="92"/>
        <v>93.48019211888146</v>
      </c>
      <c r="AN206" s="360">
        <f t="shared" si="107"/>
        <v>15949.919119817156</v>
      </c>
    </row>
    <row r="207" spans="1:40" ht="12.75">
      <c r="A207" s="359">
        <f t="shared" si="108"/>
        <v>47208</v>
      </c>
      <c r="B207" s="334">
        <f t="shared" si="93"/>
        <v>195</v>
      </c>
      <c r="C207" s="335">
        <f t="shared" si="94"/>
        <v>227.1751863850151</v>
      </c>
      <c r="D207" s="335"/>
      <c r="E207" s="335">
        <f t="shared" si="109"/>
        <v>132.91599266514297</v>
      </c>
      <c r="F207" s="335">
        <f aca="true" t="shared" si="119" ref="F207:F270">IF(G206&gt;0.5,C207-E207+D207,"")</f>
        <v>94.25919371987214</v>
      </c>
      <c r="G207" s="360">
        <f t="shared" si="95"/>
        <v>15855.659926097283</v>
      </c>
      <c r="H207" s="336" t="e">
        <f t="shared" si="110"/>
        <v>#VALUE!</v>
      </c>
      <c r="I207" s="333"/>
      <c r="J207" s="359">
        <f t="shared" si="111"/>
        <v>47208</v>
      </c>
      <c r="K207" s="334">
        <f t="shared" si="96"/>
        <v>195</v>
      </c>
      <c r="L207" s="335">
        <f t="shared" si="97"/>
        <v>227.1751863850151</v>
      </c>
      <c r="M207" s="335"/>
      <c r="N207" s="335">
        <f t="shared" si="112"/>
        <v>132.91599266514297</v>
      </c>
      <c r="O207" s="335">
        <f aca="true" t="shared" si="120" ref="O207:O270">IF(P206&gt;0.5,L207-N207+M207,"")</f>
        <v>94.25919371987214</v>
      </c>
      <c r="P207" s="360">
        <f t="shared" si="98"/>
        <v>15855.659926097283</v>
      </c>
      <c r="R207" s="359">
        <f t="shared" si="113"/>
        <v>47208</v>
      </c>
      <c r="S207" s="334">
        <f t="shared" si="99"/>
        <v>195</v>
      </c>
      <c r="T207" s="335">
        <f t="shared" si="100"/>
        <v>227.1751863850151</v>
      </c>
      <c r="U207" s="335"/>
      <c r="V207" s="335">
        <f t="shared" si="114"/>
        <v>132.91599266514297</v>
      </c>
      <c r="W207" s="335">
        <f aca="true" t="shared" si="121" ref="W207:W270">IF(X206&gt;0.5,T207-V207+U207,"")</f>
        <v>94.25919371987214</v>
      </c>
      <c r="X207" s="360">
        <f t="shared" si="101"/>
        <v>15855.659926097283</v>
      </c>
      <c r="Z207" s="359">
        <f t="shared" si="115"/>
        <v>47208</v>
      </c>
      <c r="AA207" s="334">
        <f t="shared" si="102"/>
        <v>195</v>
      </c>
      <c r="AB207" s="335">
        <f t="shared" si="103"/>
        <v>227.1751863850151</v>
      </c>
      <c r="AC207" s="335"/>
      <c r="AD207" s="335">
        <f t="shared" si="116"/>
        <v>132.91599266514297</v>
      </c>
      <c r="AE207" s="335">
        <f aca="true" t="shared" si="122" ref="AE207:AE270">IF(AF206&gt;0.5,AB207-AD207+AC207,"")</f>
        <v>94.25919371987214</v>
      </c>
      <c r="AF207" s="360">
        <f t="shared" si="104"/>
        <v>15855.659926097283</v>
      </c>
      <c r="AH207" s="359">
        <f t="shared" si="117"/>
        <v>47208</v>
      </c>
      <c r="AI207" s="334">
        <f t="shared" si="105"/>
        <v>195</v>
      </c>
      <c r="AJ207" s="335">
        <f t="shared" si="106"/>
        <v>227.1751863850151</v>
      </c>
      <c r="AK207" s="335"/>
      <c r="AL207" s="335">
        <f t="shared" si="118"/>
        <v>132.91599266514297</v>
      </c>
      <c r="AM207" s="335">
        <f aca="true" t="shared" si="123" ref="AM207:AM270">IF(AN206&gt;0.5,AJ207-AL207+AK207,"")</f>
        <v>94.25919371987214</v>
      </c>
      <c r="AN207" s="360">
        <f t="shared" si="107"/>
        <v>15855.659926097283</v>
      </c>
    </row>
    <row r="208" spans="1:40" ht="12.75">
      <c r="A208" s="359">
        <f t="shared" si="108"/>
        <v>47238</v>
      </c>
      <c r="B208" s="334">
        <f t="shared" si="93"/>
        <v>196</v>
      </c>
      <c r="C208" s="335">
        <f t="shared" si="94"/>
        <v>227.1751863850151</v>
      </c>
      <c r="D208" s="335"/>
      <c r="E208" s="335">
        <f t="shared" si="109"/>
        <v>132.13049938414403</v>
      </c>
      <c r="F208" s="335">
        <f t="shared" si="119"/>
        <v>95.04468700087108</v>
      </c>
      <c r="G208" s="360">
        <f t="shared" si="95"/>
        <v>15760.615239096413</v>
      </c>
      <c r="H208" s="336" t="e">
        <f t="shared" si="110"/>
        <v>#VALUE!</v>
      </c>
      <c r="I208" s="333"/>
      <c r="J208" s="359">
        <f t="shared" si="111"/>
        <v>47238</v>
      </c>
      <c r="K208" s="334">
        <f t="shared" si="96"/>
        <v>196</v>
      </c>
      <c r="L208" s="335">
        <f t="shared" si="97"/>
        <v>227.1751863850151</v>
      </c>
      <c r="M208" s="335"/>
      <c r="N208" s="335">
        <f t="shared" si="112"/>
        <v>132.13049938414403</v>
      </c>
      <c r="O208" s="335">
        <f t="shared" si="120"/>
        <v>95.04468700087108</v>
      </c>
      <c r="P208" s="360">
        <f t="shared" si="98"/>
        <v>15760.615239096413</v>
      </c>
      <c r="R208" s="359">
        <f t="shared" si="113"/>
        <v>47238</v>
      </c>
      <c r="S208" s="334">
        <f t="shared" si="99"/>
        <v>196</v>
      </c>
      <c r="T208" s="335">
        <f t="shared" si="100"/>
        <v>227.1751863850151</v>
      </c>
      <c r="U208" s="335"/>
      <c r="V208" s="335">
        <f t="shared" si="114"/>
        <v>132.13049938414403</v>
      </c>
      <c r="W208" s="335">
        <f t="shared" si="121"/>
        <v>95.04468700087108</v>
      </c>
      <c r="X208" s="360">
        <f t="shared" si="101"/>
        <v>15760.615239096413</v>
      </c>
      <c r="Z208" s="359">
        <f t="shared" si="115"/>
        <v>47238</v>
      </c>
      <c r="AA208" s="334">
        <f t="shared" si="102"/>
        <v>196</v>
      </c>
      <c r="AB208" s="335">
        <f t="shared" si="103"/>
        <v>227.1751863850151</v>
      </c>
      <c r="AC208" s="335"/>
      <c r="AD208" s="335">
        <f t="shared" si="116"/>
        <v>132.13049938414403</v>
      </c>
      <c r="AE208" s="335">
        <f t="shared" si="122"/>
        <v>95.04468700087108</v>
      </c>
      <c r="AF208" s="360">
        <f t="shared" si="104"/>
        <v>15760.615239096413</v>
      </c>
      <c r="AH208" s="359">
        <f t="shared" si="117"/>
        <v>47238</v>
      </c>
      <c r="AI208" s="334">
        <f t="shared" si="105"/>
        <v>196</v>
      </c>
      <c r="AJ208" s="335">
        <f t="shared" si="106"/>
        <v>227.1751863850151</v>
      </c>
      <c r="AK208" s="335"/>
      <c r="AL208" s="335">
        <f t="shared" si="118"/>
        <v>132.13049938414403</v>
      </c>
      <c r="AM208" s="335">
        <f t="shared" si="123"/>
        <v>95.04468700087108</v>
      </c>
      <c r="AN208" s="360">
        <f t="shared" si="107"/>
        <v>15760.615239096413</v>
      </c>
    </row>
    <row r="209" spans="1:40" ht="12.75">
      <c r="A209" s="359">
        <f t="shared" si="108"/>
        <v>47269</v>
      </c>
      <c r="B209" s="334">
        <f t="shared" si="93"/>
        <v>197</v>
      </c>
      <c r="C209" s="335">
        <f t="shared" si="94"/>
        <v>227.1751863850151</v>
      </c>
      <c r="D209" s="335"/>
      <c r="E209" s="335">
        <f t="shared" si="109"/>
        <v>131.33846032580342</v>
      </c>
      <c r="F209" s="335">
        <f t="shared" si="119"/>
        <v>95.83672605921168</v>
      </c>
      <c r="G209" s="360">
        <f t="shared" si="95"/>
        <v>15664.778513037201</v>
      </c>
      <c r="H209" s="336" t="e">
        <f t="shared" si="110"/>
        <v>#VALUE!</v>
      </c>
      <c r="I209" s="333"/>
      <c r="J209" s="359">
        <f t="shared" si="111"/>
        <v>47269</v>
      </c>
      <c r="K209" s="334">
        <f t="shared" si="96"/>
        <v>197</v>
      </c>
      <c r="L209" s="335">
        <f t="shared" si="97"/>
        <v>227.1751863850151</v>
      </c>
      <c r="M209" s="335"/>
      <c r="N209" s="335">
        <f t="shared" si="112"/>
        <v>131.33846032580342</v>
      </c>
      <c r="O209" s="335">
        <f t="shared" si="120"/>
        <v>95.83672605921168</v>
      </c>
      <c r="P209" s="360">
        <f t="shared" si="98"/>
        <v>15664.778513037201</v>
      </c>
      <c r="R209" s="359">
        <f t="shared" si="113"/>
        <v>47269</v>
      </c>
      <c r="S209" s="334">
        <f t="shared" si="99"/>
        <v>197</v>
      </c>
      <c r="T209" s="335">
        <f t="shared" si="100"/>
        <v>227.1751863850151</v>
      </c>
      <c r="U209" s="335"/>
      <c r="V209" s="335">
        <f t="shared" si="114"/>
        <v>131.33846032580342</v>
      </c>
      <c r="W209" s="335">
        <f t="shared" si="121"/>
        <v>95.83672605921168</v>
      </c>
      <c r="X209" s="360">
        <f t="shared" si="101"/>
        <v>15664.778513037201</v>
      </c>
      <c r="Z209" s="359">
        <f t="shared" si="115"/>
        <v>47269</v>
      </c>
      <c r="AA209" s="334">
        <f t="shared" si="102"/>
        <v>197</v>
      </c>
      <c r="AB209" s="335">
        <f t="shared" si="103"/>
        <v>227.1751863850151</v>
      </c>
      <c r="AC209" s="335"/>
      <c r="AD209" s="335">
        <f t="shared" si="116"/>
        <v>131.33846032580342</v>
      </c>
      <c r="AE209" s="335">
        <f t="shared" si="122"/>
        <v>95.83672605921168</v>
      </c>
      <c r="AF209" s="360">
        <f t="shared" si="104"/>
        <v>15664.778513037201</v>
      </c>
      <c r="AH209" s="359">
        <f t="shared" si="117"/>
        <v>47269</v>
      </c>
      <c r="AI209" s="334">
        <f t="shared" si="105"/>
        <v>197</v>
      </c>
      <c r="AJ209" s="335">
        <f t="shared" si="106"/>
        <v>227.1751863850151</v>
      </c>
      <c r="AK209" s="335"/>
      <c r="AL209" s="335">
        <f t="shared" si="118"/>
        <v>131.33846032580342</v>
      </c>
      <c r="AM209" s="335">
        <f t="shared" si="123"/>
        <v>95.83672605921168</v>
      </c>
      <c r="AN209" s="360">
        <f t="shared" si="107"/>
        <v>15664.778513037201</v>
      </c>
    </row>
    <row r="210" spans="1:40" ht="12.75">
      <c r="A210" s="359">
        <f t="shared" si="108"/>
        <v>47299</v>
      </c>
      <c r="B210" s="334">
        <f t="shared" si="93"/>
        <v>198</v>
      </c>
      <c r="C210" s="335">
        <f t="shared" si="94"/>
        <v>227.1751863850151</v>
      </c>
      <c r="D210" s="335"/>
      <c r="E210" s="335">
        <f t="shared" si="109"/>
        <v>130.53982094197667</v>
      </c>
      <c r="F210" s="335">
        <f t="shared" si="119"/>
        <v>96.63536544303844</v>
      </c>
      <c r="G210" s="360">
        <f t="shared" si="95"/>
        <v>15568.143147594163</v>
      </c>
      <c r="H210" s="336" t="e">
        <f t="shared" si="110"/>
        <v>#VALUE!</v>
      </c>
      <c r="I210" s="333"/>
      <c r="J210" s="359">
        <f t="shared" si="111"/>
        <v>47299</v>
      </c>
      <c r="K210" s="334">
        <f t="shared" si="96"/>
        <v>198</v>
      </c>
      <c r="L210" s="335">
        <f t="shared" si="97"/>
        <v>227.1751863850151</v>
      </c>
      <c r="M210" s="335"/>
      <c r="N210" s="335">
        <f t="shared" si="112"/>
        <v>130.53982094197667</v>
      </c>
      <c r="O210" s="335">
        <f t="shared" si="120"/>
        <v>96.63536544303844</v>
      </c>
      <c r="P210" s="360">
        <f t="shared" si="98"/>
        <v>15568.143147594163</v>
      </c>
      <c r="R210" s="359">
        <f t="shared" si="113"/>
        <v>47299</v>
      </c>
      <c r="S210" s="334">
        <f t="shared" si="99"/>
        <v>198</v>
      </c>
      <c r="T210" s="335">
        <f t="shared" si="100"/>
        <v>227.1751863850151</v>
      </c>
      <c r="U210" s="335"/>
      <c r="V210" s="335">
        <f t="shared" si="114"/>
        <v>130.53982094197667</v>
      </c>
      <c r="W210" s="335">
        <f t="shared" si="121"/>
        <v>96.63536544303844</v>
      </c>
      <c r="X210" s="360">
        <f t="shared" si="101"/>
        <v>15568.143147594163</v>
      </c>
      <c r="Z210" s="359">
        <f t="shared" si="115"/>
        <v>47299</v>
      </c>
      <c r="AA210" s="334">
        <f t="shared" si="102"/>
        <v>198</v>
      </c>
      <c r="AB210" s="335">
        <f t="shared" si="103"/>
        <v>227.1751863850151</v>
      </c>
      <c r="AC210" s="335"/>
      <c r="AD210" s="335">
        <f t="shared" si="116"/>
        <v>130.53982094197667</v>
      </c>
      <c r="AE210" s="335">
        <f t="shared" si="122"/>
        <v>96.63536544303844</v>
      </c>
      <c r="AF210" s="360">
        <f t="shared" si="104"/>
        <v>15568.143147594163</v>
      </c>
      <c r="AH210" s="359">
        <f t="shared" si="117"/>
        <v>47299</v>
      </c>
      <c r="AI210" s="334">
        <f t="shared" si="105"/>
        <v>198</v>
      </c>
      <c r="AJ210" s="335">
        <f t="shared" si="106"/>
        <v>227.1751863850151</v>
      </c>
      <c r="AK210" s="335"/>
      <c r="AL210" s="335">
        <f t="shared" si="118"/>
        <v>130.53982094197667</v>
      </c>
      <c r="AM210" s="335">
        <f t="shared" si="123"/>
        <v>96.63536544303844</v>
      </c>
      <c r="AN210" s="360">
        <f t="shared" si="107"/>
        <v>15568.143147594163</v>
      </c>
    </row>
    <row r="211" spans="1:40" ht="12.75">
      <c r="A211" s="359">
        <f t="shared" si="108"/>
        <v>47330</v>
      </c>
      <c r="B211" s="334">
        <f t="shared" si="93"/>
        <v>199</v>
      </c>
      <c r="C211" s="335">
        <f t="shared" si="94"/>
        <v>227.1751863850151</v>
      </c>
      <c r="D211" s="335"/>
      <c r="E211" s="335">
        <f t="shared" si="109"/>
        <v>129.73452622995134</v>
      </c>
      <c r="F211" s="335">
        <f t="shared" si="119"/>
        <v>97.44066015506377</v>
      </c>
      <c r="G211" s="360">
        <f t="shared" si="95"/>
        <v>15470.702487439099</v>
      </c>
      <c r="H211" s="336" t="e">
        <f t="shared" si="110"/>
        <v>#VALUE!</v>
      </c>
      <c r="I211" s="333"/>
      <c r="J211" s="359">
        <f t="shared" si="111"/>
        <v>47330</v>
      </c>
      <c r="K211" s="334">
        <f t="shared" si="96"/>
        <v>199</v>
      </c>
      <c r="L211" s="335">
        <f t="shared" si="97"/>
        <v>227.1751863850151</v>
      </c>
      <c r="M211" s="335"/>
      <c r="N211" s="335">
        <f t="shared" si="112"/>
        <v>129.73452622995134</v>
      </c>
      <c r="O211" s="335">
        <f t="shared" si="120"/>
        <v>97.44066015506377</v>
      </c>
      <c r="P211" s="360">
        <f t="shared" si="98"/>
        <v>15470.702487439099</v>
      </c>
      <c r="R211" s="359">
        <f t="shared" si="113"/>
        <v>47330</v>
      </c>
      <c r="S211" s="334">
        <f t="shared" si="99"/>
        <v>199</v>
      </c>
      <c r="T211" s="335">
        <f t="shared" si="100"/>
        <v>227.1751863850151</v>
      </c>
      <c r="U211" s="335"/>
      <c r="V211" s="335">
        <f t="shared" si="114"/>
        <v>129.73452622995134</v>
      </c>
      <c r="W211" s="335">
        <f t="shared" si="121"/>
        <v>97.44066015506377</v>
      </c>
      <c r="X211" s="360">
        <f t="shared" si="101"/>
        <v>15470.702487439099</v>
      </c>
      <c r="Z211" s="359">
        <f t="shared" si="115"/>
        <v>47330</v>
      </c>
      <c r="AA211" s="334">
        <f t="shared" si="102"/>
        <v>199</v>
      </c>
      <c r="AB211" s="335">
        <f t="shared" si="103"/>
        <v>227.1751863850151</v>
      </c>
      <c r="AC211" s="335"/>
      <c r="AD211" s="335">
        <f t="shared" si="116"/>
        <v>129.73452622995134</v>
      </c>
      <c r="AE211" s="335">
        <f t="shared" si="122"/>
        <v>97.44066015506377</v>
      </c>
      <c r="AF211" s="360">
        <f t="shared" si="104"/>
        <v>15470.702487439099</v>
      </c>
      <c r="AH211" s="359">
        <f t="shared" si="117"/>
        <v>47330</v>
      </c>
      <c r="AI211" s="334">
        <f t="shared" si="105"/>
        <v>199</v>
      </c>
      <c r="AJ211" s="335">
        <f t="shared" si="106"/>
        <v>227.1751863850151</v>
      </c>
      <c r="AK211" s="335"/>
      <c r="AL211" s="335">
        <f t="shared" si="118"/>
        <v>129.73452622995134</v>
      </c>
      <c r="AM211" s="335">
        <f t="shared" si="123"/>
        <v>97.44066015506377</v>
      </c>
      <c r="AN211" s="360">
        <f t="shared" si="107"/>
        <v>15470.702487439099</v>
      </c>
    </row>
    <row r="212" spans="1:40" ht="12.75">
      <c r="A212" s="359">
        <f t="shared" si="108"/>
        <v>47361</v>
      </c>
      <c r="B212" s="334">
        <f t="shared" si="93"/>
        <v>200</v>
      </c>
      <c r="C212" s="335">
        <f t="shared" si="94"/>
        <v>227.1751863850151</v>
      </c>
      <c r="D212" s="335"/>
      <c r="E212" s="335">
        <f t="shared" si="109"/>
        <v>128.92252072865915</v>
      </c>
      <c r="F212" s="335">
        <f t="shared" si="119"/>
        <v>98.25266565635596</v>
      </c>
      <c r="G212" s="360">
        <f t="shared" si="95"/>
        <v>15372.449821782742</v>
      </c>
      <c r="H212" s="336" t="e">
        <f t="shared" si="110"/>
        <v>#VALUE!</v>
      </c>
      <c r="I212" s="333"/>
      <c r="J212" s="359">
        <f t="shared" si="111"/>
        <v>47361</v>
      </c>
      <c r="K212" s="334">
        <f t="shared" si="96"/>
        <v>200</v>
      </c>
      <c r="L212" s="335">
        <f t="shared" si="97"/>
        <v>227.1751863850151</v>
      </c>
      <c r="M212" s="335"/>
      <c r="N212" s="335">
        <f t="shared" si="112"/>
        <v>128.92252072865915</v>
      </c>
      <c r="O212" s="335">
        <f t="shared" si="120"/>
        <v>98.25266565635596</v>
      </c>
      <c r="P212" s="360">
        <f t="shared" si="98"/>
        <v>15372.449821782742</v>
      </c>
      <c r="R212" s="359">
        <f t="shared" si="113"/>
        <v>47361</v>
      </c>
      <c r="S212" s="334">
        <f t="shared" si="99"/>
        <v>200</v>
      </c>
      <c r="T212" s="335">
        <f t="shared" si="100"/>
        <v>227.1751863850151</v>
      </c>
      <c r="U212" s="335"/>
      <c r="V212" s="335">
        <f t="shared" si="114"/>
        <v>128.92252072865915</v>
      </c>
      <c r="W212" s="335">
        <f t="shared" si="121"/>
        <v>98.25266565635596</v>
      </c>
      <c r="X212" s="360">
        <f t="shared" si="101"/>
        <v>15372.449821782742</v>
      </c>
      <c r="Z212" s="359">
        <f t="shared" si="115"/>
        <v>47361</v>
      </c>
      <c r="AA212" s="334">
        <f t="shared" si="102"/>
        <v>200</v>
      </c>
      <c r="AB212" s="335">
        <f t="shared" si="103"/>
        <v>227.1751863850151</v>
      </c>
      <c r="AC212" s="335"/>
      <c r="AD212" s="335">
        <f t="shared" si="116"/>
        <v>128.92252072865915</v>
      </c>
      <c r="AE212" s="335">
        <f t="shared" si="122"/>
        <v>98.25266565635596</v>
      </c>
      <c r="AF212" s="360">
        <f t="shared" si="104"/>
        <v>15372.449821782742</v>
      </c>
      <c r="AH212" s="359">
        <f t="shared" si="117"/>
        <v>47361</v>
      </c>
      <c r="AI212" s="334">
        <f t="shared" si="105"/>
        <v>200</v>
      </c>
      <c r="AJ212" s="335">
        <f t="shared" si="106"/>
        <v>227.1751863850151</v>
      </c>
      <c r="AK212" s="335"/>
      <c r="AL212" s="335">
        <f t="shared" si="118"/>
        <v>128.92252072865915</v>
      </c>
      <c r="AM212" s="335">
        <f t="shared" si="123"/>
        <v>98.25266565635596</v>
      </c>
      <c r="AN212" s="360">
        <f t="shared" si="107"/>
        <v>15372.449821782742</v>
      </c>
    </row>
    <row r="213" spans="1:40" ht="12.75">
      <c r="A213" s="359">
        <f t="shared" si="108"/>
        <v>47391</v>
      </c>
      <c r="B213" s="334">
        <f t="shared" si="93"/>
        <v>201</v>
      </c>
      <c r="C213" s="335">
        <f t="shared" si="94"/>
        <v>227.1751863850151</v>
      </c>
      <c r="D213" s="335"/>
      <c r="E213" s="335">
        <f t="shared" si="109"/>
        <v>128.1037485148562</v>
      </c>
      <c r="F213" s="335">
        <f t="shared" si="119"/>
        <v>99.07143787015892</v>
      </c>
      <c r="G213" s="360">
        <f t="shared" si="95"/>
        <v>15273.378383912583</v>
      </c>
      <c r="H213" s="336" t="e">
        <f t="shared" si="110"/>
        <v>#VALUE!</v>
      </c>
      <c r="I213" s="333"/>
      <c r="J213" s="359">
        <f t="shared" si="111"/>
        <v>47391</v>
      </c>
      <c r="K213" s="334">
        <f t="shared" si="96"/>
        <v>201</v>
      </c>
      <c r="L213" s="335">
        <f t="shared" si="97"/>
        <v>227.1751863850151</v>
      </c>
      <c r="M213" s="335"/>
      <c r="N213" s="335">
        <f t="shared" si="112"/>
        <v>128.1037485148562</v>
      </c>
      <c r="O213" s="335">
        <f t="shared" si="120"/>
        <v>99.07143787015892</v>
      </c>
      <c r="P213" s="360">
        <f t="shared" si="98"/>
        <v>15273.378383912583</v>
      </c>
      <c r="R213" s="359">
        <f t="shared" si="113"/>
        <v>47391</v>
      </c>
      <c r="S213" s="334">
        <f t="shared" si="99"/>
        <v>201</v>
      </c>
      <c r="T213" s="335">
        <f t="shared" si="100"/>
        <v>227.1751863850151</v>
      </c>
      <c r="U213" s="335"/>
      <c r="V213" s="335">
        <f t="shared" si="114"/>
        <v>128.1037485148562</v>
      </c>
      <c r="W213" s="335">
        <f t="shared" si="121"/>
        <v>99.07143787015892</v>
      </c>
      <c r="X213" s="360">
        <f t="shared" si="101"/>
        <v>15273.378383912583</v>
      </c>
      <c r="Z213" s="359">
        <f t="shared" si="115"/>
        <v>47391</v>
      </c>
      <c r="AA213" s="334">
        <f t="shared" si="102"/>
        <v>201</v>
      </c>
      <c r="AB213" s="335">
        <f t="shared" si="103"/>
        <v>227.1751863850151</v>
      </c>
      <c r="AC213" s="335"/>
      <c r="AD213" s="335">
        <f t="shared" si="116"/>
        <v>128.1037485148562</v>
      </c>
      <c r="AE213" s="335">
        <f t="shared" si="122"/>
        <v>99.07143787015892</v>
      </c>
      <c r="AF213" s="360">
        <f t="shared" si="104"/>
        <v>15273.378383912583</v>
      </c>
      <c r="AH213" s="359">
        <f t="shared" si="117"/>
        <v>47391</v>
      </c>
      <c r="AI213" s="334">
        <f t="shared" si="105"/>
        <v>201</v>
      </c>
      <c r="AJ213" s="335">
        <f t="shared" si="106"/>
        <v>227.1751863850151</v>
      </c>
      <c r="AK213" s="335"/>
      <c r="AL213" s="335">
        <f t="shared" si="118"/>
        <v>128.1037485148562</v>
      </c>
      <c r="AM213" s="335">
        <f t="shared" si="123"/>
        <v>99.07143787015892</v>
      </c>
      <c r="AN213" s="360">
        <f t="shared" si="107"/>
        <v>15273.378383912583</v>
      </c>
    </row>
    <row r="214" spans="1:40" ht="12.75">
      <c r="A214" s="359">
        <f t="shared" si="108"/>
        <v>47422</v>
      </c>
      <c r="B214" s="334">
        <f t="shared" si="93"/>
        <v>202</v>
      </c>
      <c r="C214" s="335">
        <f t="shared" si="94"/>
        <v>227.1751863850151</v>
      </c>
      <c r="D214" s="335"/>
      <c r="E214" s="335">
        <f t="shared" si="109"/>
        <v>127.27815319927151</v>
      </c>
      <c r="F214" s="335">
        <f t="shared" si="119"/>
        <v>99.8970331857436</v>
      </c>
      <c r="G214" s="360">
        <f t="shared" si="95"/>
        <v>15173.481350726839</v>
      </c>
      <c r="H214" s="336" t="e">
        <f t="shared" si="110"/>
        <v>#VALUE!</v>
      </c>
      <c r="I214" s="333"/>
      <c r="J214" s="359">
        <f t="shared" si="111"/>
        <v>47422</v>
      </c>
      <c r="K214" s="334">
        <f t="shared" si="96"/>
        <v>202</v>
      </c>
      <c r="L214" s="335">
        <f t="shared" si="97"/>
        <v>227.1751863850151</v>
      </c>
      <c r="M214" s="335"/>
      <c r="N214" s="335">
        <f t="shared" si="112"/>
        <v>127.27815319927151</v>
      </c>
      <c r="O214" s="335">
        <f t="shared" si="120"/>
        <v>99.8970331857436</v>
      </c>
      <c r="P214" s="360">
        <f t="shared" si="98"/>
        <v>15173.481350726839</v>
      </c>
      <c r="R214" s="359">
        <f t="shared" si="113"/>
        <v>47422</v>
      </c>
      <c r="S214" s="334">
        <f t="shared" si="99"/>
        <v>202</v>
      </c>
      <c r="T214" s="335">
        <f t="shared" si="100"/>
        <v>227.1751863850151</v>
      </c>
      <c r="U214" s="335"/>
      <c r="V214" s="335">
        <f t="shared" si="114"/>
        <v>127.27815319927151</v>
      </c>
      <c r="W214" s="335">
        <f t="shared" si="121"/>
        <v>99.8970331857436</v>
      </c>
      <c r="X214" s="360">
        <f t="shared" si="101"/>
        <v>15173.481350726839</v>
      </c>
      <c r="Z214" s="359">
        <f t="shared" si="115"/>
        <v>47422</v>
      </c>
      <c r="AA214" s="334">
        <f t="shared" si="102"/>
        <v>202</v>
      </c>
      <c r="AB214" s="335">
        <f t="shared" si="103"/>
        <v>227.1751863850151</v>
      </c>
      <c r="AC214" s="335"/>
      <c r="AD214" s="335">
        <f t="shared" si="116"/>
        <v>127.27815319927151</v>
      </c>
      <c r="AE214" s="335">
        <f t="shared" si="122"/>
        <v>99.8970331857436</v>
      </c>
      <c r="AF214" s="360">
        <f t="shared" si="104"/>
        <v>15173.481350726839</v>
      </c>
      <c r="AH214" s="359">
        <f t="shared" si="117"/>
        <v>47422</v>
      </c>
      <c r="AI214" s="334">
        <f t="shared" si="105"/>
        <v>202</v>
      </c>
      <c r="AJ214" s="335">
        <f t="shared" si="106"/>
        <v>227.1751863850151</v>
      </c>
      <c r="AK214" s="335"/>
      <c r="AL214" s="335">
        <f t="shared" si="118"/>
        <v>127.27815319927151</v>
      </c>
      <c r="AM214" s="335">
        <f t="shared" si="123"/>
        <v>99.8970331857436</v>
      </c>
      <c r="AN214" s="360">
        <f t="shared" si="107"/>
        <v>15173.481350726839</v>
      </c>
    </row>
    <row r="215" spans="1:40" ht="12.75">
      <c r="A215" s="359">
        <f t="shared" si="108"/>
        <v>47452</v>
      </c>
      <c r="B215" s="334">
        <f t="shared" si="93"/>
        <v>203</v>
      </c>
      <c r="C215" s="335">
        <f t="shared" si="94"/>
        <v>227.1751863850151</v>
      </c>
      <c r="D215" s="335"/>
      <c r="E215" s="335">
        <f t="shared" si="109"/>
        <v>126.44567792272366</v>
      </c>
      <c r="F215" s="335">
        <f t="shared" si="119"/>
        <v>100.72950846229145</v>
      </c>
      <c r="G215" s="360">
        <f t="shared" si="95"/>
        <v>15072.751842264548</v>
      </c>
      <c r="H215" s="336" t="e">
        <f t="shared" si="110"/>
        <v>#VALUE!</v>
      </c>
      <c r="I215" s="333"/>
      <c r="J215" s="359">
        <f t="shared" si="111"/>
        <v>47452</v>
      </c>
      <c r="K215" s="334">
        <f t="shared" si="96"/>
        <v>203</v>
      </c>
      <c r="L215" s="335">
        <f t="shared" si="97"/>
        <v>227.1751863850151</v>
      </c>
      <c r="M215" s="335"/>
      <c r="N215" s="335">
        <f t="shared" si="112"/>
        <v>126.44567792272366</v>
      </c>
      <c r="O215" s="335">
        <f t="shared" si="120"/>
        <v>100.72950846229145</v>
      </c>
      <c r="P215" s="360">
        <f t="shared" si="98"/>
        <v>15072.751842264548</v>
      </c>
      <c r="R215" s="359">
        <f t="shared" si="113"/>
        <v>47452</v>
      </c>
      <c r="S215" s="334">
        <f t="shared" si="99"/>
        <v>203</v>
      </c>
      <c r="T215" s="335">
        <f t="shared" si="100"/>
        <v>227.1751863850151</v>
      </c>
      <c r="U215" s="335"/>
      <c r="V215" s="335">
        <f t="shared" si="114"/>
        <v>126.44567792272366</v>
      </c>
      <c r="W215" s="335">
        <f t="shared" si="121"/>
        <v>100.72950846229145</v>
      </c>
      <c r="X215" s="360">
        <f t="shared" si="101"/>
        <v>15072.751842264548</v>
      </c>
      <c r="Z215" s="359">
        <f t="shared" si="115"/>
        <v>47452</v>
      </c>
      <c r="AA215" s="334">
        <f t="shared" si="102"/>
        <v>203</v>
      </c>
      <c r="AB215" s="335">
        <f t="shared" si="103"/>
        <v>227.1751863850151</v>
      </c>
      <c r="AC215" s="335"/>
      <c r="AD215" s="335">
        <f t="shared" si="116"/>
        <v>126.44567792272366</v>
      </c>
      <c r="AE215" s="335">
        <f t="shared" si="122"/>
        <v>100.72950846229145</v>
      </c>
      <c r="AF215" s="360">
        <f t="shared" si="104"/>
        <v>15072.751842264548</v>
      </c>
      <c r="AH215" s="359">
        <f t="shared" si="117"/>
        <v>47452</v>
      </c>
      <c r="AI215" s="334">
        <f t="shared" si="105"/>
        <v>203</v>
      </c>
      <c r="AJ215" s="335">
        <f t="shared" si="106"/>
        <v>227.1751863850151</v>
      </c>
      <c r="AK215" s="335"/>
      <c r="AL215" s="335">
        <f t="shared" si="118"/>
        <v>126.44567792272366</v>
      </c>
      <c r="AM215" s="335">
        <f t="shared" si="123"/>
        <v>100.72950846229145</v>
      </c>
      <c r="AN215" s="360">
        <f t="shared" si="107"/>
        <v>15072.751842264548</v>
      </c>
    </row>
    <row r="216" spans="1:40" ht="12.75">
      <c r="A216" s="359">
        <f t="shared" si="108"/>
        <v>47483</v>
      </c>
      <c r="B216" s="334">
        <f t="shared" si="93"/>
        <v>204</v>
      </c>
      <c r="C216" s="335">
        <f t="shared" si="94"/>
        <v>227.1751863850151</v>
      </c>
      <c r="D216" s="335"/>
      <c r="E216" s="335">
        <f t="shared" si="109"/>
        <v>125.60626535220456</v>
      </c>
      <c r="F216" s="335">
        <f t="shared" si="119"/>
        <v>101.56892103281055</v>
      </c>
      <c r="G216" s="360">
        <f t="shared" si="95"/>
        <v>14971.182921231737</v>
      </c>
      <c r="H216" s="336" t="e">
        <f t="shared" si="110"/>
        <v>#VALUE!</v>
      </c>
      <c r="I216" s="333"/>
      <c r="J216" s="359">
        <f t="shared" si="111"/>
        <v>47483</v>
      </c>
      <c r="K216" s="334">
        <f t="shared" si="96"/>
        <v>204</v>
      </c>
      <c r="L216" s="335">
        <f t="shared" si="97"/>
        <v>227.1751863850151</v>
      </c>
      <c r="M216" s="335"/>
      <c r="N216" s="335">
        <f t="shared" si="112"/>
        <v>125.60626535220456</v>
      </c>
      <c r="O216" s="335">
        <f t="shared" si="120"/>
        <v>101.56892103281055</v>
      </c>
      <c r="P216" s="360">
        <f t="shared" si="98"/>
        <v>14971.182921231737</v>
      </c>
      <c r="R216" s="359">
        <f t="shared" si="113"/>
        <v>47483</v>
      </c>
      <c r="S216" s="334">
        <f t="shared" si="99"/>
        <v>204</v>
      </c>
      <c r="T216" s="335">
        <f t="shared" si="100"/>
        <v>227.1751863850151</v>
      </c>
      <c r="U216" s="335"/>
      <c r="V216" s="335">
        <f t="shared" si="114"/>
        <v>125.60626535220456</v>
      </c>
      <c r="W216" s="335">
        <f t="shared" si="121"/>
        <v>101.56892103281055</v>
      </c>
      <c r="X216" s="360">
        <f t="shared" si="101"/>
        <v>14971.182921231737</v>
      </c>
      <c r="Z216" s="359">
        <f t="shared" si="115"/>
        <v>47483</v>
      </c>
      <c r="AA216" s="334">
        <f t="shared" si="102"/>
        <v>204</v>
      </c>
      <c r="AB216" s="335">
        <f t="shared" si="103"/>
        <v>227.1751863850151</v>
      </c>
      <c r="AC216" s="335"/>
      <c r="AD216" s="335">
        <f t="shared" si="116"/>
        <v>125.60626535220456</v>
      </c>
      <c r="AE216" s="335">
        <f t="shared" si="122"/>
        <v>101.56892103281055</v>
      </c>
      <c r="AF216" s="360">
        <f t="shared" si="104"/>
        <v>14971.182921231737</v>
      </c>
      <c r="AH216" s="359">
        <f t="shared" si="117"/>
        <v>47483</v>
      </c>
      <c r="AI216" s="334">
        <f t="shared" si="105"/>
        <v>204</v>
      </c>
      <c r="AJ216" s="335">
        <f t="shared" si="106"/>
        <v>227.1751863850151</v>
      </c>
      <c r="AK216" s="335"/>
      <c r="AL216" s="335">
        <f t="shared" si="118"/>
        <v>125.60626535220456</v>
      </c>
      <c r="AM216" s="335">
        <f t="shared" si="123"/>
        <v>101.56892103281055</v>
      </c>
      <c r="AN216" s="360">
        <f t="shared" si="107"/>
        <v>14971.182921231737</v>
      </c>
    </row>
    <row r="217" spans="1:40" ht="12.75">
      <c r="A217" s="359">
        <f t="shared" si="108"/>
        <v>47514</v>
      </c>
      <c r="B217" s="334">
        <f t="shared" si="93"/>
        <v>205</v>
      </c>
      <c r="C217" s="335">
        <f t="shared" si="94"/>
        <v>227.1751863850151</v>
      </c>
      <c r="D217" s="335"/>
      <c r="E217" s="335">
        <f t="shared" si="109"/>
        <v>124.75985767693113</v>
      </c>
      <c r="F217" s="335">
        <f t="shared" si="119"/>
        <v>102.41532870808398</v>
      </c>
      <c r="G217" s="360">
        <f t="shared" si="95"/>
        <v>14868.767592523653</v>
      </c>
      <c r="H217" s="336" t="e">
        <f t="shared" si="110"/>
        <v>#VALUE!</v>
      </c>
      <c r="I217" s="333"/>
      <c r="J217" s="359">
        <f t="shared" si="111"/>
        <v>47514</v>
      </c>
      <c r="K217" s="334">
        <f t="shared" si="96"/>
        <v>205</v>
      </c>
      <c r="L217" s="335">
        <f t="shared" si="97"/>
        <v>227.1751863850151</v>
      </c>
      <c r="M217" s="335"/>
      <c r="N217" s="335">
        <f t="shared" si="112"/>
        <v>124.75985767693113</v>
      </c>
      <c r="O217" s="335">
        <f t="shared" si="120"/>
        <v>102.41532870808398</v>
      </c>
      <c r="P217" s="360">
        <f t="shared" si="98"/>
        <v>14868.767592523653</v>
      </c>
      <c r="R217" s="359">
        <f t="shared" si="113"/>
        <v>47514</v>
      </c>
      <c r="S217" s="334">
        <f t="shared" si="99"/>
        <v>205</v>
      </c>
      <c r="T217" s="335">
        <f t="shared" si="100"/>
        <v>227.1751863850151</v>
      </c>
      <c r="U217" s="335"/>
      <c r="V217" s="335">
        <f t="shared" si="114"/>
        <v>124.75985767693113</v>
      </c>
      <c r="W217" s="335">
        <f t="shared" si="121"/>
        <v>102.41532870808398</v>
      </c>
      <c r="X217" s="360">
        <f t="shared" si="101"/>
        <v>14868.767592523653</v>
      </c>
      <c r="Z217" s="359">
        <f t="shared" si="115"/>
        <v>47514</v>
      </c>
      <c r="AA217" s="334">
        <f t="shared" si="102"/>
        <v>205</v>
      </c>
      <c r="AB217" s="335">
        <f t="shared" si="103"/>
        <v>227.1751863850151</v>
      </c>
      <c r="AC217" s="335"/>
      <c r="AD217" s="335">
        <f t="shared" si="116"/>
        <v>124.75985767693113</v>
      </c>
      <c r="AE217" s="335">
        <f t="shared" si="122"/>
        <v>102.41532870808398</v>
      </c>
      <c r="AF217" s="360">
        <f t="shared" si="104"/>
        <v>14868.767592523653</v>
      </c>
      <c r="AH217" s="359">
        <f t="shared" si="117"/>
        <v>47514</v>
      </c>
      <c r="AI217" s="334">
        <f t="shared" si="105"/>
        <v>205</v>
      </c>
      <c r="AJ217" s="335">
        <f t="shared" si="106"/>
        <v>227.1751863850151</v>
      </c>
      <c r="AK217" s="335"/>
      <c r="AL217" s="335">
        <f t="shared" si="118"/>
        <v>124.75985767693113</v>
      </c>
      <c r="AM217" s="335">
        <f t="shared" si="123"/>
        <v>102.41532870808398</v>
      </c>
      <c r="AN217" s="360">
        <f t="shared" si="107"/>
        <v>14868.767592523653</v>
      </c>
    </row>
    <row r="218" spans="1:40" ht="12.75">
      <c r="A218" s="359">
        <f t="shared" si="108"/>
        <v>47542</v>
      </c>
      <c r="B218" s="334">
        <f t="shared" si="93"/>
        <v>206</v>
      </c>
      <c r="C218" s="335">
        <f t="shared" si="94"/>
        <v>227.1751863850151</v>
      </c>
      <c r="D218" s="335"/>
      <c r="E218" s="335">
        <f t="shared" si="109"/>
        <v>123.90639660436376</v>
      </c>
      <c r="F218" s="335">
        <f t="shared" si="119"/>
        <v>103.26878978065135</v>
      </c>
      <c r="G218" s="360">
        <f t="shared" si="95"/>
        <v>14765.498802743</v>
      </c>
      <c r="H218" s="336" t="e">
        <f t="shared" si="110"/>
        <v>#VALUE!</v>
      </c>
      <c r="I218" s="333"/>
      <c r="J218" s="359">
        <f t="shared" si="111"/>
        <v>47542</v>
      </c>
      <c r="K218" s="334">
        <f t="shared" si="96"/>
        <v>206</v>
      </c>
      <c r="L218" s="335">
        <f t="shared" si="97"/>
        <v>227.1751863850151</v>
      </c>
      <c r="M218" s="335"/>
      <c r="N218" s="335">
        <f t="shared" si="112"/>
        <v>123.90639660436376</v>
      </c>
      <c r="O218" s="335">
        <f t="shared" si="120"/>
        <v>103.26878978065135</v>
      </c>
      <c r="P218" s="360">
        <f t="shared" si="98"/>
        <v>14765.498802743</v>
      </c>
      <c r="R218" s="359">
        <f t="shared" si="113"/>
        <v>47542</v>
      </c>
      <c r="S218" s="334">
        <f t="shared" si="99"/>
        <v>206</v>
      </c>
      <c r="T218" s="335">
        <f t="shared" si="100"/>
        <v>227.1751863850151</v>
      </c>
      <c r="U218" s="335"/>
      <c r="V218" s="335">
        <f t="shared" si="114"/>
        <v>123.90639660436376</v>
      </c>
      <c r="W218" s="335">
        <f t="shared" si="121"/>
        <v>103.26878978065135</v>
      </c>
      <c r="X218" s="360">
        <f t="shared" si="101"/>
        <v>14765.498802743</v>
      </c>
      <c r="Z218" s="359">
        <f t="shared" si="115"/>
        <v>47542</v>
      </c>
      <c r="AA218" s="334">
        <f t="shared" si="102"/>
        <v>206</v>
      </c>
      <c r="AB218" s="335">
        <f t="shared" si="103"/>
        <v>227.1751863850151</v>
      </c>
      <c r="AC218" s="335"/>
      <c r="AD218" s="335">
        <f t="shared" si="116"/>
        <v>123.90639660436376</v>
      </c>
      <c r="AE218" s="335">
        <f t="shared" si="122"/>
        <v>103.26878978065135</v>
      </c>
      <c r="AF218" s="360">
        <f t="shared" si="104"/>
        <v>14765.498802743</v>
      </c>
      <c r="AH218" s="359">
        <f t="shared" si="117"/>
        <v>47542</v>
      </c>
      <c r="AI218" s="334">
        <f t="shared" si="105"/>
        <v>206</v>
      </c>
      <c r="AJ218" s="335">
        <f t="shared" si="106"/>
        <v>227.1751863850151</v>
      </c>
      <c r="AK218" s="335"/>
      <c r="AL218" s="335">
        <f t="shared" si="118"/>
        <v>123.90639660436376</v>
      </c>
      <c r="AM218" s="335">
        <f t="shared" si="123"/>
        <v>103.26878978065135</v>
      </c>
      <c r="AN218" s="360">
        <f t="shared" si="107"/>
        <v>14765.498802743</v>
      </c>
    </row>
    <row r="219" spans="1:40" ht="12.75">
      <c r="A219" s="359">
        <f t="shared" si="108"/>
        <v>47573</v>
      </c>
      <c r="B219" s="334">
        <f t="shared" si="93"/>
        <v>207</v>
      </c>
      <c r="C219" s="335">
        <f t="shared" si="94"/>
        <v>227.1751863850151</v>
      </c>
      <c r="D219" s="335"/>
      <c r="E219" s="335">
        <f t="shared" si="109"/>
        <v>123.04582335619168</v>
      </c>
      <c r="F219" s="335">
        <f t="shared" si="119"/>
        <v>104.12936302882343</v>
      </c>
      <c r="G219" s="360">
        <f t="shared" si="95"/>
        <v>14661.369439714177</v>
      </c>
      <c r="H219" s="336" t="e">
        <f t="shared" si="110"/>
        <v>#VALUE!</v>
      </c>
      <c r="I219" s="333"/>
      <c r="J219" s="359">
        <f t="shared" si="111"/>
        <v>47573</v>
      </c>
      <c r="K219" s="334">
        <f t="shared" si="96"/>
        <v>207</v>
      </c>
      <c r="L219" s="335">
        <f t="shared" si="97"/>
        <v>227.1751863850151</v>
      </c>
      <c r="M219" s="335"/>
      <c r="N219" s="335">
        <f t="shared" si="112"/>
        <v>123.04582335619168</v>
      </c>
      <c r="O219" s="335">
        <f t="shared" si="120"/>
        <v>104.12936302882343</v>
      </c>
      <c r="P219" s="360">
        <f t="shared" si="98"/>
        <v>14661.369439714177</v>
      </c>
      <c r="R219" s="359">
        <f t="shared" si="113"/>
        <v>47573</v>
      </c>
      <c r="S219" s="334">
        <f t="shared" si="99"/>
        <v>207</v>
      </c>
      <c r="T219" s="335">
        <f t="shared" si="100"/>
        <v>227.1751863850151</v>
      </c>
      <c r="U219" s="335"/>
      <c r="V219" s="335">
        <f t="shared" si="114"/>
        <v>123.04582335619168</v>
      </c>
      <c r="W219" s="335">
        <f t="shared" si="121"/>
        <v>104.12936302882343</v>
      </c>
      <c r="X219" s="360">
        <f t="shared" si="101"/>
        <v>14661.369439714177</v>
      </c>
      <c r="Z219" s="359">
        <f t="shared" si="115"/>
        <v>47573</v>
      </c>
      <c r="AA219" s="334">
        <f t="shared" si="102"/>
        <v>207</v>
      </c>
      <c r="AB219" s="335">
        <f t="shared" si="103"/>
        <v>227.1751863850151</v>
      </c>
      <c r="AC219" s="335"/>
      <c r="AD219" s="335">
        <f t="shared" si="116"/>
        <v>123.04582335619168</v>
      </c>
      <c r="AE219" s="335">
        <f t="shared" si="122"/>
        <v>104.12936302882343</v>
      </c>
      <c r="AF219" s="360">
        <f t="shared" si="104"/>
        <v>14661.369439714177</v>
      </c>
      <c r="AH219" s="359">
        <f t="shared" si="117"/>
        <v>47573</v>
      </c>
      <c r="AI219" s="334">
        <f t="shared" si="105"/>
        <v>207</v>
      </c>
      <c r="AJ219" s="335">
        <f t="shared" si="106"/>
        <v>227.1751863850151</v>
      </c>
      <c r="AK219" s="335"/>
      <c r="AL219" s="335">
        <f t="shared" si="118"/>
        <v>123.04582335619168</v>
      </c>
      <c r="AM219" s="335">
        <f t="shared" si="123"/>
        <v>104.12936302882343</v>
      </c>
      <c r="AN219" s="360">
        <f t="shared" si="107"/>
        <v>14661.369439714177</v>
      </c>
    </row>
    <row r="220" spans="1:40" ht="12.75">
      <c r="A220" s="359">
        <f t="shared" si="108"/>
        <v>47603</v>
      </c>
      <c r="B220" s="334">
        <f t="shared" si="93"/>
        <v>208</v>
      </c>
      <c r="C220" s="335">
        <f t="shared" si="94"/>
        <v>227.1751863850151</v>
      </c>
      <c r="D220" s="335"/>
      <c r="E220" s="335">
        <f t="shared" si="109"/>
        <v>122.17807866428481</v>
      </c>
      <c r="F220" s="335">
        <f t="shared" si="119"/>
        <v>104.9971077207303</v>
      </c>
      <c r="G220" s="360">
        <f t="shared" si="95"/>
        <v>14556.372331993447</v>
      </c>
      <c r="H220" s="336" t="e">
        <f t="shared" si="110"/>
        <v>#VALUE!</v>
      </c>
      <c r="I220" s="333"/>
      <c r="J220" s="359">
        <f t="shared" si="111"/>
        <v>47603</v>
      </c>
      <c r="K220" s="334">
        <f t="shared" si="96"/>
        <v>208</v>
      </c>
      <c r="L220" s="335">
        <f t="shared" si="97"/>
        <v>227.1751863850151</v>
      </c>
      <c r="M220" s="335"/>
      <c r="N220" s="335">
        <f t="shared" si="112"/>
        <v>122.17807866428481</v>
      </c>
      <c r="O220" s="335">
        <f t="shared" si="120"/>
        <v>104.9971077207303</v>
      </c>
      <c r="P220" s="360">
        <f t="shared" si="98"/>
        <v>14556.372331993447</v>
      </c>
      <c r="R220" s="359">
        <f t="shared" si="113"/>
        <v>47603</v>
      </c>
      <c r="S220" s="334">
        <f t="shared" si="99"/>
        <v>208</v>
      </c>
      <c r="T220" s="335">
        <f t="shared" si="100"/>
        <v>227.1751863850151</v>
      </c>
      <c r="U220" s="335"/>
      <c r="V220" s="335">
        <f t="shared" si="114"/>
        <v>122.17807866428481</v>
      </c>
      <c r="W220" s="335">
        <f t="shared" si="121"/>
        <v>104.9971077207303</v>
      </c>
      <c r="X220" s="360">
        <f t="shared" si="101"/>
        <v>14556.372331993447</v>
      </c>
      <c r="Z220" s="359">
        <f t="shared" si="115"/>
        <v>47603</v>
      </c>
      <c r="AA220" s="334">
        <f t="shared" si="102"/>
        <v>208</v>
      </c>
      <c r="AB220" s="335">
        <f t="shared" si="103"/>
        <v>227.1751863850151</v>
      </c>
      <c r="AC220" s="335"/>
      <c r="AD220" s="335">
        <f t="shared" si="116"/>
        <v>122.17807866428481</v>
      </c>
      <c r="AE220" s="335">
        <f t="shared" si="122"/>
        <v>104.9971077207303</v>
      </c>
      <c r="AF220" s="360">
        <f t="shared" si="104"/>
        <v>14556.372331993447</v>
      </c>
      <c r="AH220" s="359">
        <f t="shared" si="117"/>
        <v>47603</v>
      </c>
      <c r="AI220" s="334">
        <f t="shared" si="105"/>
        <v>208</v>
      </c>
      <c r="AJ220" s="335">
        <f t="shared" si="106"/>
        <v>227.1751863850151</v>
      </c>
      <c r="AK220" s="335"/>
      <c r="AL220" s="335">
        <f t="shared" si="118"/>
        <v>122.17807866428481</v>
      </c>
      <c r="AM220" s="335">
        <f t="shared" si="123"/>
        <v>104.9971077207303</v>
      </c>
      <c r="AN220" s="360">
        <f t="shared" si="107"/>
        <v>14556.372331993447</v>
      </c>
    </row>
    <row r="221" spans="1:40" ht="12.75">
      <c r="A221" s="359">
        <f t="shared" si="108"/>
        <v>47634</v>
      </c>
      <c r="B221" s="334">
        <f t="shared" si="93"/>
        <v>209</v>
      </c>
      <c r="C221" s="335">
        <f t="shared" si="94"/>
        <v>227.1751863850151</v>
      </c>
      <c r="D221" s="335"/>
      <c r="E221" s="335">
        <f t="shared" si="109"/>
        <v>121.30310276661206</v>
      </c>
      <c r="F221" s="335">
        <f t="shared" si="119"/>
        <v>105.87208361840305</v>
      </c>
      <c r="G221" s="360">
        <f t="shared" si="95"/>
        <v>14450.500248375043</v>
      </c>
      <c r="H221" s="336" t="e">
        <f t="shared" si="110"/>
        <v>#VALUE!</v>
      </c>
      <c r="I221" s="333"/>
      <c r="J221" s="359">
        <f t="shared" si="111"/>
        <v>47634</v>
      </c>
      <c r="K221" s="334">
        <f t="shared" si="96"/>
        <v>209</v>
      </c>
      <c r="L221" s="335">
        <f t="shared" si="97"/>
        <v>227.1751863850151</v>
      </c>
      <c r="M221" s="335"/>
      <c r="N221" s="335">
        <f t="shared" si="112"/>
        <v>121.30310276661206</v>
      </c>
      <c r="O221" s="335">
        <f t="shared" si="120"/>
        <v>105.87208361840305</v>
      </c>
      <c r="P221" s="360">
        <f t="shared" si="98"/>
        <v>14450.500248375043</v>
      </c>
      <c r="R221" s="359">
        <f t="shared" si="113"/>
        <v>47634</v>
      </c>
      <c r="S221" s="334">
        <f t="shared" si="99"/>
        <v>209</v>
      </c>
      <c r="T221" s="335">
        <f t="shared" si="100"/>
        <v>227.1751863850151</v>
      </c>
      <c r="U221" s="335"/>
      <c r="V221" s="335">
        <f t="shared" si="114"/>
        <v>121.30310276661206</v>
      </c>
      <c r="W221" s="335">
        <f t="shared" si="121"/>
        <v>105.87208361840305</v>
      </c>
      <c r="X221" s="360">
        <f t="shared" si="101"/>
        <v>14450.500248375043</v>
      </c>
      <c r="Z221" s="359">
        <f t="shared" si="115"/>
        <v>47634</v>
      </c>
      <c r="AA221" s="334">
        <f t="shared" si="102"/>
        <v>209</v>
      </c>
      <c r="AB221" s="335">
        <f t="shared" si="103"/>
        <v>227.1751863850151</v>
      </c>
      <c r="AC221" s="335"/>
      <c r="AD221" s="335">
        <f t="shared" si="116"/>
        <v>121.30310276661206</v>
      </c>
      <c r="AE221" s="335">
        <f t="shared" si="122"/>
        <v>105.87208361840305</v>
      </c>
      <c r="AF221" s="360">
        <f t="shared" si="104"/>
        <v>14450.500248375043</v>
      </c>
      <c r="AH221" s="359">
        <f t="shared" si="117"/>
        <v>47634</v>
      </c>
      <c r="AI221" s="334">
        <f t="shared" si="105"/>
        <v>209</v>
      </c>
      <c r="AJ221" s="335">
        <f t="shared" si="106"/>
        <v>227.1751863850151</v>
      </c>
      <c r="AK221" s="335"/>
      <c r="AL221" s="335">
        <f t="shared" si="118"/>
        <v>121.30310276661206</v>
      </c>
      <c r="AM221" s="335">
        <f t="shared" si="123"/>
        <v>105.87208361840305</v>
      </c>
      <c r="AN221" s="360">
        <f t="shared" si="107"/>
        <v>14450.500248375043</v>
      </c>
    </row>
    <row r="222" spans="1:40" ht="12.75">
      <c r="A222" s="359">
        <f t="shared" si="108"/>
        <v>47664</v>
      </c>
      <c r="B222" s="334">
        <f t="shared" si="93"/>
        <v>210</v>
      </c>
      <c r="C222" s="335">
        <f t="shared" si="94"/>
        <v>227.1751863850151</v>
      </c>
      <c r="D222" s="335"/>
      <c r="E222" s="335">
        <f t="shared" si="109"/>
        <v>120.42083540312535</v>
      </c>
      <c r="F222" s="335">
        <f t="shared" si="119"/>
        <v>106.75435098188976</v>
      </c>
      <c r="G222" s="360">
        <f t="shared" si="95"/>
        <v>14343.745897393153</v>
      </c>
      <c r="H222" s="336" t="e">
        <f t="shared" si="110"/>
        <v>#VALUE!</v>
      </c>
      <c r="I222" s="333"/>
      <c r="J222" s="359">
        <f t="shared" si="111"/>
        <v>47664</v>
      </c>
      <c r="K222" s="334">
        <f t="shared" si="96"/>
        <v>210</v>
      </c>
      <c r="L222" s="335">
        <f t="shared" si="97"/>
        <v>227.1751863850151</v>
      </c>
      <c r="M222" s="335"/>
      <c r="N222" s="335">
        <f t="shared" si="112"/>
        <v>120.42083540312535</v>
      </c>
      <c r="O222" s="335">
        <f t="shared" si="120"/>
        <v>106.75435098188976</v>
      </c>
      <c r="P222" s="360">
        <f t="shared" si="98"/>
        <v>14343.745897393153</v>
      </c>
      <c r="R222" s="359">
        <f t="shared" si="113"/>
        <v>47664</v>
      </c>
      <c r="S222" s="334">
        <f t="shared" si="99"/>
        <v>210</v>
      </c>
      <c r="T222" s="335">
        <f t="shared" si="100"/>
        <v>227.1751863850151</v>
      </c>
      <c r="U222" s="335"/>
      <c r="V222" s="335">
        <f t="shared" si="114"/>
        <v>120.42083540312535</v>
      </c>
      <c r="W222" s="335">
        <f t="shared" si="121"/>
        <v>106.75435098188976</v>
      </c>
      <c r="X222" s="360">
        <f t="shared" si="101"/>
        <v>14343.745897393153</v>
      </c>
      <c r="Z222" s="359">
        <f t="shared" si="115"/>
        <v>47664</v>
      </c>
      <c r="AA222" s="334">
        <f t="shared" si="102"/>
        <v>210</v>
      </c>
      <c r="AB222" s="335">
        <f t="shared" si="103"/>
        <v>227.1751863850151</v>
      </c>
      <c r="AC222" s="335"/>
      <c r="AD222" s="335">
        <f t="shared" si="116"/>
        <v>120.42083540312535</v>
      </c>
      <c r="AE222" s="335">
        <f t="shared" si="122"/>
        <v>106.75435098188976</v>
      </c>
      <c r="AF222" s="360">
        <f t="shared" si="104"/>
        <v>14343.745897393153</v>
      </c>
      <c r="AH222" s="359">
        <f t="shared" si="117"/>
        <v>47664</v>
      </c>
      <c r="AI222" s="334">
        <f t="shared" si="105"/>
        <v>210</v>
      </c>
      <c r="AJ222" s="335">
        <f t="shared" si="106"/>
        <v>227.1751863850151</v>
      </c>
      <c r="AK222" s="335"/>
      <c r="AL222" s="335">
        <f t="shared" si="118"/>
        <v>120.42083540312535</v>
      </c>
      <c r="AM222" s="335">
        <f t="shared" si="123"/>
        <v>106.75435098188976</v>
      </c>
      <c r="AN222" s="360">
        <f t="shared" si="107"/>
        <v>14343.745897393153</v>
      </c>
    </row>
    <row r="223" spans="1:40" ht="12.75">
      <c r="A223" s="359">
        <f t="shared" si="108"/>
        <v>47695</v>
      </c>
      <c r="B223" s="334">
        <f t="shared" si="93"/>
        <v>211</v>
      </c>
      <c r="C223" s="335">
        <f t="shared" si="94"/>
        <v>227.1751863850151</v>
      </c>
      <c r="D223" s="335"/>
      <c r="E223" s="335">
        <f t="shared" si="109"/>
        <v>119.53121581160961</v>
      </c>
      <c r="F223" s="335">
        <f t="shared" si="119"/>
        <v>107.6439705734055</v>
      </c>
      <c r="G223" s="360">
        <f t="shared" si="95"/>
        <v>14236.101926819749</v>
      </c>
      <c r="H223" s="336" t="e">
        <f t="shared" si="110"/>
        <v>#VALUE!</v>
      </c>
      <c r="I223" s="333"/>
      <c r="J223" s="359">
        <f t="shared" si="111"/>
        <v>47695</v>
      </c>
      <c r="K223" s="334">
        <f t="shared" si="96"/>
        <v>211</v>
      </c>
      <c r="L223" s="335">
        <f t="shared" si="97"/>
        <v>227.1751863850151</v>
      </c>
      <c r="M223" s="335"/>
      <c r="N223" s="335">
        <f t="shared" si="112"/>
        <v>119.53121581160961</v>
      </c>
      <c r="O223" s="335">
        <f t="shared" si="120"/>
        <v>107.6439705734055</v>
      </c>
      <c r="P223" s="360">
        <f t="shared" si="98"/>
        <v>14236.101926819749</v>
      </c>
      <c r="R223" s="359">
        <f t="shared" si="113"/>
        <v>47695</v>
      </c>
      <c r="S223" s="334">
        <f t="shared" si="99"/>
        <v>211</v>
      </c>
      <c r="T223" s="335">
        <f t="shared" si="100"/>
        <v>227.1751863850151</v>
      </c>
      <c r="U223" s="335"/>
      <c r="V223" s="335">
        <f t="shared" si="114"/>
        <v>119.53121581160961</v>
      </c>
      <c r="W223" s="335">
        <f t="shared" si="121"/>
        <v>107.6439705734055</v>
      </c>
      <c r="X223" s="360">
        <f t="shared" si="101"/>
        <v>14236.101926819749</v>
      </c>
      <c r="Z223" s="359">
        <f t="shared" si="115"/>
        <v>47695</v>
      </c>
      <c r="AA223" s="334">
        <f t="shared" si="102"/>
        <v>211</v>
      </c>
      <c r="AB223" s="335">
        <f t="shared" si="103"/>
        <v>227.1751863850151</v>
      </c>
      <c r="AC223" s="335"/>
      <c r="AD223" s="335">
        <f t="shared" si="116"/>
        <v>119.53121581160961</v>
      </c>
      <c r="AE223" s="335">
        <f t="shared" si="122"/>
        <v>107.6439705734055</v>
      </c>
      <c r="AF223" s="360">
        <f t="shared" si="104"/>
        <v>14236.101926819749</v>
      </c>
      <c r="AH223" s="359">
        <f t="shared" si="117"/>
        <v>47695</v>
      </c>
      <c r="AI223" s="334">
        <f t="shared" si="105"/>
        <v>211</v>
      </c>
      <c r="AJ223" s="335">
        <f t="shared" si="106"/>
        <v>227.1751863850151</v>
      </c>
      <c r="AK223" s="335"/>
      <c r="AL223" s="335">
        <f t="shared" si="118"/>
        <v>119.53121581160961</v>
      </c>
      <c r="AM223" s="335">
        <f t="shared" si="123"/>
        <v>107.6439705734055</v>
      </c>
      <c r="AN223" s="360">
        <f t="shared" si="107"/>
        <v>14236.101926819749</v>
      </c>
    </row>
    <row r="224" spans="1:40" ht="12.75">
      <c r="A224" s="359">
        <f t="shared" si="108"/>
        <v>47726</v>
      </c>
      <c r="B224" s="334">
        <f t="shared" si="93"/>
        <v>212</v>
      </c>
      <c r="C224" s="335">
        <f t="shared" si="94"/>
        <v>227.1751863850151</v>
      </c>
      <c r="D224" s="335"/>
      <c r="E224" s="335">
        <f t="shared" si="109"/>
        <v>118.6341827234979</v>
      </c>
      <c r="F224" s="335">
        <f t="shared" si="119"/>
        <v>108.54100366151721</v>
      </c>
      <c r="G224" s="360">
        <f t="shared" si="95"/>
        <v>14127.560923158231</v>
      </c>
      <c r="H224" s="336" t="e">
        <f t="shared" si="110"/>
        <v>#VALUE!</v>
      </c>
      <c r="I224" s="333"/>
      <c r="J224" s="359">
        <f t="shared" si="111"/>
        <v>47726</v>
      </c>
      <c r="K224" s="334">
        <f t="shared" si="96"/>
        <v>212</v>
      </c>
      <c r="L224" s="335">
        <f t="shared" si="97"/>
        <v>227.1751863850151</v>
      </c>
      <c r="M224" s="335"/>
      <c r="N224" s="335">
        <f t="shared" si="112"/>
        <v>118.6341827234979</v>
      </c>
      <c r="O224" s="335">
        <f t="shared" si="120"/>
        <v>108.54100366151721</v>
      </c>
      <c r="P224" s="360">
        <f t="shared" si="98"/>
        <v>14127.560923158231</v>
      </c>
      <c r="R224" s="359">
        <f t="shared" si="113"/>
        <v>47726</v>
      </c>
      <c r="S224" s="334">
        <f t="shared" si="99"/>
        <v>212</v>
      </c>
      <c r="T224" s="335">
        <f t="shared" si="100"/>
        <v>227.1751863850151</v>
      </c>
      <c r="U224" s="335"/>
      <c r="V224" s="335">
        <f t="shared" si="114"/>
        <v>118.6341827234979</v>
      </c>
      <c r="W224" s="335">
        <f t="shared" si="121"/>
        <v>108.54100366151721</v>
      </c>
      <c r="X224" s="360">
        <f t="shared" si="101"/>
        <v>14127.560923158231</v>
      </c>
      <c r="Z224" s="359">
        <f t="shared" si="115"/>
        <v>47726</v>
      </c>
      <c r="AA224" s="334">
        <f t="shared" si="102"/>
        <v>212</v>
      </c>
      <c r="AB224" s="335">
        <f t="shared" si="103"/>
        <v>227.1751863850151</v>
      </c>
      <c r="AC224" s="335"/>
      <c r="AD224" s="335">
        <f t="shared" si="116"/>
        <v>118.6341827234979</v>
      </c>
      <c r="AE224" s="335">
        <f t="shared" si="122"/>
        <v>108.54100366151721</v>
      </c>
      <c r="AF224" s="360">
        <f t="shared" si="104"/>
        <v>14127.560923158231</v>
      </c>
      <c r="AH224" s="359">
        <f t="shared" si="117"/>
        <v>47726</v>
      </c>
      <c r="AI224" s="334">
        <f t="shared" si="105"/>
        <v>212</v>
      </c>
      <c r="AJ224" s="335">
        <f t="shared" si="106"/>
        <v>227.1751863850151</v>
      </c>
      <c r="AK224" s="335"/>
      <c r="AL224" s="335">
        <f t="shared" si="118"/>
        <v>118.6341827234979</v>
      </c>
      <c r="AM224" s="335">
        <f t="shared" si="123"/>
        <v>108.54100366151721</v>
      </c>
      <c r="AN224" s="360">
        <f t="shared" si="107"/>
        <v>14127.560923158231</v>
      </c>
    </row>
    <row r="225" spans="1:40" ht="12.75">
      <c r="A225" s="359">
        <f t="shared" si="108"/>
        <v>47756</v>
      </c>
      <c r="B225" s="334">
        <f t="shared" si="93"/>
        <v>213</v>
      </c>
      <c r="C225" s="335">
        <f t="shared" si="94"/>
        <v>227.1751863850151</v>
      </c>
      <c r="D225" s="335"/>
      <c r="E225" s="335">
        <f t="shared" si="109"/>
        <v>117.72967435965192</v>
      </c>
      <c r="F225" s="335">
        <f t="shared" si="119"/>
        <v>109.44551202536319</v>
      </c>
      <c r="G225" s="360">
        <f t="shared" si="95"/>
        <v>14018.115411132869</v>
      </c>
      <c r="H225" s="336" t="e">
        <f t="shared" si="110"/>
        <v>#VALUE!</v>
      </c>
      <c r="I225" s="333"/>
      <c r="J225" s="359">
        <f t="shared" si="111"/>
        <v>47756</v>
      </c>
      <c r="K225" s="334">
        <f t="shared" si="96"/>
        <v>213</v>
      </c>
      <c r="L225" s="335">
        <f t="shared" si="97"/>
        <v>227.1751863850151</v>
      </c>
      <c r="M225" s="335"/>
      <c r="N225" s="335">
        <f t="shared" si="112"/>
        <v>117.72967435965192</v>
      </c>
      <c r="O225" s="335">
        <f t="shared" si="120"/>
        <v>109.44551202536319</v>
      </c>
      <c r="P225" s="360">
        <f t="shared" si="98"/>
        <v>14018.115411132869</v>
      </c>
      <c r="R225" s="359">
        <f t="shared" si="113"/>
        <v>47756</v>
      </c>
      <c r="S225" s="334">
        <f t="shared" si="99"/>
        <v>213</v>
      </c>
      <c r="T225" s="335">
        <f t="shared" si="100"/>
        <v>227.1751863850151</v>
      </c>
      <c r="U225" s="335"/>
      <c r="V225" s="335">
        <f t="shared" si="114"/>
        <v>117.72967435965192</v>
      </c>
      <c r="W225" s="335">
        <f t="shared" si="121"/>
        <v>109.44551202536319</v>
      </c>
      <c r="X225" s="360">
        <f t="shared" si="101"/>
        <v>14018.115411132869</v>
      </c>
      <c r="Z225" s="359">
        <f t="shared" si="115"/>
        <v>47756</v>
      </c>
      <c r="AA225" s="334">
        <f t="shared" si="102"/>
        <v>213</v>
      </c>
      <c r="AB225" s="335">
        <f t="shared" si="103"/>
        <v>227.1751863850151</v>
      </c>
      <c r="AC225" s="335"/>
      <c r="AD225" s="335">
        <f t="shared" si="116"/>
        <v>117.72967435965192</v>
      </c>
      <c r="AE225" s="335">
        <f t="shared" si="122"/>
        <v>109.44551202536319</v>
      </c>
      <c r="AF225" s="360">
        <f t="shared" si="104"/>
        <v>14018.115411132869</v>
      </c>
      <c r="AH225" s="359">
        <f t="shared" si="117"/>
        <v>47756</v>
      </c>
      <c r="AI225" s="334">
        <f t="shared" si="105"/>
        <v>213</v>
      </c>
      <c r="AJ225" s="335">
        <f t="shared" si="106"/>
        <v>227.1751863850151</v>
      </c>
      <c r="AK225" s="335"/>
      <c r="AL225" s="335">
        <f t="shared" si="118"/>
        <v>117.72967435965192</v>
      </c>
      <c r="AM225" s="335">
        <f t="shared" si="123"/>
        <v>109.44551202536319</v>
      </c>
      <c r="AN225" s="360">
        <f t="shared" si="107"/>
        <v>14018.115411132869</v>
      </c>
    </row>
    <row r="226" spans="1:40" ht="12.75">
      <c r="A226" s="359">
        <f t="shared" si="108"/>
        <v>47787</v>
      </c>
      <c r="B226" s="334">
        <f t="shared" si="93"/>
        <v>214</v>
      </c>
      <c r="C226" s="335">
        <f t="shared" si="94"/>
        <v>227.1751863850151</v>
      </c>
      <c r="D226" s="335"/>
      <c r="E226" s="335">
        <f t="shared" si="109"/>
        <v>116.81762842610723</v>
      </c>
      <c r="F226" s="335">
        <f t="shared" si="119"/>
        <v>110.35755795890788</v>
      </c>
      <c r="G226" s="360">
        <f t="shared" si="95"/>
        <v>13907.75785317396</v>
      </c>
      <c r="H226" s="336" t="e">
        <f t="shared" si="110"/>
        <v>#VALUE!</v>
      </c>
      <c r="I226" s="333"/>
      <c r="J226" s="359">
        <f t="shared" si="111"/>
        <v>47787</v>
      </c>
      <c r="K226" s="334">
        <f t="shared" si="96"/>
        <v>214</v>
      </c>
      <c r="L226" s="335">
        <f t="shared" si="97"/>
        <v>227.1751863850151</v>
      </c>
      <c r="M226" s="335"/>
      <c r="N226" s="335">
        <f t="shared" si="112"/>
        <v>116.81762842610723</v>
      </c>
      <c r="O226" s="335">
        <f t="shared" si="120"/>
        <v>110.35755795890788</v>
      </c>
      <c r="P226" s="360">
        <f t="shared" si="98"/>
        <v>13907.75785317396</v>
      </c>
      <c r="R226" s="359">
        <f t="shared" si="113"/>
        <v>47787</v>
      </c>
      <c r="S226" s="334">
        <f t="shared" si="99"/>
        <v>214</v>
      </c>
      <c r="T226" s="335">
        <f t="shared" si="100"/>
        <v>227.1751863850151</v>
      </c>
      <c r="U226" s="335"/>
      <c r="V226" s="335">
        <f t="shared" si="114"/>
        <v>116.81762842610723</v>
      </c>
      <c r="W226" s="335">
        <f t="shared" si="121"/>
        <v>110.35755795890788</v>
      </c>
      <c r="X226" s="360">
        <f t="shared" si="101"/>
        <v>13907.75785317396</v>
      </c>
      <c r="Z226" s="359">
        <f t="shared" si="115"/>
        <v>47787</v>
      </c>
      <c r="AA226" s="334">
        <f t="shared" si="102"/>
        <v>214</v>
      </c>
      <c r="AB226" s="335">
        <f t="shared" si="103"/>
        <v>227.1751863850151</v>
      </c>
      <c r="AC226" s="335"/>
      <c r="AD226" s="335">
        <f t="shared" si="116"/>
        <v>116.81762842610723</v>
      </c>
      <c r="AE226" s="335">
        <f t="shared" si="122"/>
        <v>110.35755795890788</v>
      </c>
      <c r="AF226" s="360">
        <f t="shared" si="104"/>
        <v>13907.75785317396</v>
      </c>
      <c r="AH226" s="359">
        <f t="shared" si="117"/>
        <v>47787</v>
      </c>
      <c r="AI226" s="334">
        <f t="shared" si="105"/>
        <v>214</v>
      </c>
      <c r="AJ226" s="335">
        <f t="shared" si="106"/>
        <v>227.1751863850151</v>
      </c>
      <c r="AK226" s="335"/>
      <c r="AL226" s="335">
        <f t="shared" si="118"/>
        <v>116.81762842610723</v>
      </c>
      <c r="AM226" s="335">
        <f t="shared" si="123"/>
        <v>110.35755795890788</v>
      </c>
      <c r="AN226" s="360">
        <f t="shared" si="107"/>
        <v>13907.75785317396</v>
      </c>
    </row>
    <row r="227" spans="1:40" ht="12.75">
      <c r="A227" s="359">
        <f t="shared" si="108"/>
        <v>47817</v>
      </c>
      <c r="B227" s="334">
        <f t="shared" si="93"/>
        <v>215</v>
      </c>
      <c r="C227" s="335">
        <f t="shared" si="94"/>
        <v>227.1751863850151</v>
      </c>
      <c r="D227" s="335"/>
      <c r="E227" s="335">
        <f t="shared" si="109"/>
        <v>115.897982109783</v>
      </c>
      <c r="F227" s="335">
        <f t="shared" si="119"/>
        <v>111.27720427523211</v>
      </c>
      <c r="G227" s="360">
        <f t="shared" si="95"/>
        <v>13796.480648898729</v>
      </c>
      <c r="H227" s="336" t="e">
        <f t="shared" si="110"/>
        <v>#VALUE!</v>
      </c>
      <c r="I227" s="333"/>
      <c r="J227" s="359">
        <f t="shared" si="111"/>
        <v>47817</v>
      </c>
      <c r="K227" s="334">
        <f t="shared" si="96"/>
        <v>215</v>
      </c>
      <c r="L227" s="335">
        <f t="shared" si="97"/>
        <v>227.1751863850151</v>
      </c>
      <c r="M227" s="335"/>
      <c r="N227" s="335">
        <f t="shared" si="112"/>
        <v>115.897982109783</v>
      </c>
      <c r="O227" s="335">
        <f t="shared" si="120"/>
        <v>111.27720427523211</v>
      </c>
      <c r="P227" s="360">
        <f t="shared" si="98"/>
        <v>13796.480648898729</v>
      </c>
      <c r="R227" s="359">
        <f t="shared" si="113"/>
        <v>47817</v>
      </c>
      <c r="S227" s="334">
        <f t="shared" si="99"/>
        <v>215</v>
      </c>
      <c r="T227" s="335">
        <f t="shared" si="100"/>
        <v>227.1751863850151</v>
      </c>
      <c r="U227" s="335"/>
      <c r="V227" s="335">
        <f t="shared" si="114"/>
        <v>115.897982109783</v>
      </c>
      <c r="W227" s="335">
        <f t="shared" si="121"/>
        <v>111.27720427523211</v>
      </c>
      <c r="X227" s="360">
        <f t="shared" si="101"/>
        <v>13796.480648898729</v>
      </c>
      <c r="Z227" s="359">
        <f t="shared" si="115"/>
        <v>47817</v>
      </c>
      <c r="AA227" s="334">
        <f t="shared" si="102"/>
        <v>215</v>
      </c>
      <c r="AB227" s="335">
        <f t="shared" si="103"/>
        <v>227.1751863850151</v>
      </c>
      <c r="AC227" s="335"/>
      <c r="AD227" s="335">
        <f t="shared" si="116"/>
        <v>115.897982109783</v>
      </c>
      <c r="AE227" s="335">
        <f t="shared" si="122"/>
        <v>111.27720427523211</v>
      </c>
      <c r="AF227" s="360">
        <f t="shared" si="104"/>
        <v>13796.480648898729</v>
      </c>
      <c r="AH227" s="359">
        <f t="shared" si="117"/>
        <v>47817</v>
      </c>
      <c r="AI227" s="334">
        <f t="shared" si="105"/>
        <v>215</v>
      </c>
      <c r="AJ227" s="335">
        <f t="shared" si="106"/>
        <v>227.1751863850151</v>
      </c>
      <c r="AK227" s="335"/>
      <c r="AL227" s="335">
        <f t="shared" si="118"/>
        <v>115.897982109783</v>
      </c>
      <c r="AM227" s="335">
        <f t="shared" si="123"/>
        <v>111.27720427523211</v>
      </c>
      <c r="AN227" s="360">
        <f t="shared" si="107"/>
        <v>13796.480648898729</v>
      </c>
    </row>
    <row r="228" spans="1:40" ht="12.75">
      <c r="A228" s="359">
        <f t="shared" si="108"/>
        <v>47848</v>
      </c>
      <c r="B228" s="334">
        <f t="shared" si="93"/>
        <v>216</v>
      </c>
      <c r="C228" s="335">
        <f t="shared" si="94"/>
        <v>227.1751863850151</v>
      </c>
      <c r="D228" s="335"/>
      <c r="E228" s="335">
        <f t="shared" si="109"/>
        <v>114.97067207415607</v>
      </c>
      <c r="F228" s="335">
        <f t="shared" si="119"/>
        <v>112.20451431085904</v>
      </c>
      <c r="G228" s="360">
        <f t="shared" si="95"/>
        <v>13684.27613458787</v>
      </c>
      <c r="H228" s="336" t="e">
        <f t="shared" si="110"/>
        <v>#VALUE!</v>
      </c>
      <c r="I228" s="333"/>
      <c r="J228" s="359">
        <f t="shared" si="111"/>
        <v>47848</v>
      </c>
      <c r="K228" s="334">
        <f t="shared" si="96"/>
        <v>216</v>
      </c>
      <c r="L228" s="335">
        <f t="shared" si="97"/>
        <v>227.1751863850151</v>
      </c>
      <c r="M228" s="335"/>
      <c r="N228" s="335">
        <f t="shared" si="112"/>
        <v>114.97067207415607</v>
      </c>
      <c r="O228" s="335">
        <f t="shared" si="120"/>
        <v>112.20451431085904</v>
      </c>
      <c r="P228" s="360">
        <f t="shared" si="98"/>
        <v>13684.27613458787</v>
      </c>
      <c r="R228" s="359">
        <f t="shared" si="113"/>
        <v>47848</v>
      </c>
      <c r="S228" s="334">
        <f t="shared" si="99"/>
        <v>216</v>
      </c>
      <c r="T228" s="335">
        <f t="shared" si="100"/>
        <v>227.1751863850151</v>
      </c>
      <c r="U228" s="335"/>
      <c r="V228" s="335">
        <f t="shared" si="114"/>
        <v>114.97067207415607</v>
      </c>
      <c r="W228" s="335">
        <f t="shared" si="121"/>
        <v>112.20451431085904</v>
      </c>
      <c r="X228" s="360">
        <f t="shared" si="101"/>
        <v>13684.27613458787</v>
      </c>
      <c r="Z228" s="359">
        <f t="shared" si="115"/>
        <v>47848</v>
      </c>
      <c r="AA228" s="334">
        <f t="shared" si="102"/>
        <v>216</v>
      </c>
      <c r="AB228" s="335">
        <f t="shared" si="103"/>
        <v>227.1751863850151</v>
      </c>
      <c r="AC228" s="335"/>
      <c r="AD228" s="335">
        <f t="shared" si="116"/>
        <v>114.97067207415607</v>
      </c>
      <c r="AE228" s="335">
        <f t="shared" si="122"/>
        <v>112.20451431085904</v>
      </c>
      <c r="AF228" s="360">
        <f t="shared" si="104"/>
        <v>13684.27613458787</v>
      </c>
      <c r="AH228" s="359">
        <f t="shared" si="117"/>
        <v>47848</v>
      </c>
      <c r="AI228" s="334">
        <f t="shared" si="105"/>
        <v>216</v>
      </c>
      <c r="AJ228" s="335">
        <f t="shared" si="106"/>
        <v>227.1751863850151</v>
      </c>
      <c r="AK228" s="335"/>
      <c r="AL228" s="335">
        <f t="shared" si="118"/>
        <v>114.97067207415607</v>
      </c>
      <c r="AM228" s="335">
        <f t="shared" si="123"/>
        <v>112.20451431085904</v>
      </c>
      <c r="AN228" s="360">
        <f t="shared" si="107"/>
        <v>13684.27613458787</v>
      </c>
    </row>
    <row r="229" spans="1:40" ht="12.75">
      <c r="A229" s="359">
        <f t="shared" si="108"/>
        <v>47879</v>
      </c>
      <c r="B229" s="334">
        <f t="shared" si="93"/>
        <v>217</v>
      </c>
      <c r="C229" s="335">
        <f t="shared" si="94"/>
        <v>227.1751863850151</v>
      </c>
      <c r="D229" s="335"/>
      <c r="E229" s="335">
        <f t="shared" si="109"/>
        <v>114.03563445489891</v>
      </c>
      <c r="F229" s="335">
        <f t="shared" si="119"/>
        <v>113.1395519301162</v>
      </c>
      <c r="G229" s="360">
        <f t="shared" si="95"/>
        <v>13571.136582657753</v>
      </c>
      <c r="H229" s="336" t="e">
        <f t="shared" si="110"/>
        <v>#VALUE!</v>
      </c>
      <c r="I229" s="333"/>
      <c r="J229" s="359">
        <f t="shared" si="111"/>
        <v>47879</v>
      </c>
      <c r="K229" s="334">
        <f t="shared" si="96"/>
        <v>217</v>
      </c>
      <c r="L229" s="335">
        <f t="shared" si="97"/>
        <v>227.1751863850151</v>
      </c>
      <c r="M229" s="335"/>
      <c r="N229" s="335">
        <f t="shared" si="112"/>
        <v>114.03563445489891</v>
      </c>
      <c r="O229" s="335">
        <f t="shared" si="120"/>
        <v>113.1395519301162</v>
      </c>
      <c r="P229" s="360">
        <f t="shared" si="98"/>
        <v>13571.136582657753</v>
      </c>
      <c r="R229" s="359">
        <f t="shared" si="113"/>
        <v>47879</v>
      </c>
      <c r="S229" s="334">
        <f t="shared" si="99"/>
        <v>217</v>
      </c>
      <c r="T229" s="335">
        <f t="shared" si="100"/>
        <v>227.1751863850151</v>
      </c>
      <c r="U229" s="335"/>
      <c r="V229" s="335">
        <f t="shared" si="114"/>
        <v>114.03563445489891</v>
      </c>
      <c r="W229" s="335">
        <f t="shared" si="121"/>
        <v>113.1395519301162</v>
      </c>
      <c r="X229" s="360">
        <f t="shared" si="101"/>
        <v>13571.136582657753</v>
      </c>
      <c r="Z229" s="359">
        <f t="shared" si="115"/>
        <v>47879</v>
      </c>
      <c r="AA229" s="334">
        <f t="shared" si="102"/>
        <v>217</v>
      </c>
      <c r="AB229" s="335">
        <f t="shared" si="103"/>
        <v>227.1751863850151</v>
      </c>
      <c r="AC229" s="335"/>
      <c r="AD229" s="335">
        <f t="shared" si="116"/>
        <v>114.03563445489891</v>
      </c>
      <c r="AE229" s="335">
        <f t="shared" si="122"/>
        <v>113.1395519301162</v>
      </c>
      <c r="AF229" s="360">
        <f t="shared" si="104"/>
        <v>13571.136582657753</v>
      </c>
      <c r="AH229" s="359">
        <f t="shared" si="117"/>
        <v>47879</v>
      </c>
      <c r="AI229" s="334">
        <f t="shared" si="105"/>
        <v>217</v>
      </c>
      <c r="AJ229" s="335">
        <f t="shared" si="106"/>
        <v>227.1751863850151</v>
      </c>
      <c r="AK229" s="335"/>
      <c r="AL229" s="335">
        <f t="shared" si="118"/>
        <v>114.03563445489891</v>
      </c>
      <c r="AM229" s="335">
        <f t="shared" si="123"/>
        <v>113.1395519301162</v>
      </c>
      <c r="AN229" s="360">
        <f t="shared" si="107"/>
        <v>13571.136582657753</v>
      </c>
    </row>
    <row r="230" spans="1:40" ht="12.75">
      <c r="A230" s="359">
        <f t="shared" si="108"/>
        <v>47907</v>
      </c>
      <c r="B230" s="334">
        <f t="shared" si="93"/>
        <v>218</v>
      </c>
      <c r="C230" s="335">
        <f t="shared" si="94"/>
        <v>227.1751863850151</v>
      </c>
      <c r="D230" s="335"/>
      <c r="E230" s="335">
        <f t="shared" si="109"/>
        <v>113.09280485548128</v>
      </c>
      <c r="F230" s="335">
        <f t="shared" si="119"/>
        <v>114.08238152953383</v>
      </c>
      <c r="G230" s="360">
        <f t="shared" si="95"/>
        <v>13457.05420112822</v>
      </c>
      <c r="H230" s="336" t="e">
        <f t="shared" si="110"/>
        <v>#VALUE!</v>
      </c>
      <c r="I230" s="333"/>
      <c r="J230" s="359">
        <f t="shared" si="111"/>
        <v>47907</v>
      </c>
      <c r="K230" s="334">
        <f t="shared" si="96"/>
        <v>218</v>
      </c>
      <c r="L230" s="335">
        <f t="shared" si="97"/>
        <v>227.1751863850151</v>
      </c>
      <c r="M230" s="335"/>
      <c r="N230" s="335">
        <f t="shared" si="112"/>
        <v>113.09280485548128</v>
      </c>
      <c r="O230" s="335">
        <f t="shared" si="120"/>
        <v>114.08238152953383</v>
      </c>
      <c r="P230" s="360">
        <f t="shared" si="98"/>
        <v>13457.05420112822</v>
      </c>
      <c r="R230" s="359">
        <f t="shared" si="113"/>
        <v>47907</v>
      </c>
      <c r="S230" s="334">
        <f t="shared" si="99"/>
        <v>218</v>
      </c>
      <c r="T230" s="335">
        <f t="shared" si="100"/>
        <v>227.1751863850151</v>
      </c>
      <c r="U230" s="335"/>
      <c r="V230" s="335">
        <f t="shared" si="114"/>
        <v>113.09280485548128</v>
      </c>
      <c r="W230" s="335">
        <f t="shared" si="121"/>
        <v>114.08238152953383</v>
      </c>
      <c r="X230" s="360">
        <f t="shared" si="101"/>
        <v>13457.05420112822</v>
      </c>
      <c r="Z230" s="359">
        <f t="shared" si="115"/>
        <v>47907</v>
      </c>
      <c r="AA230" s="334">
        <f t="shared" si="102"/>
        <v>218</v>
      </c>
      <c r="AB230" s="335">
        <f t="shared" si="103"/>
        <v>227.1751863850151</v>
      </c>
      <c r="AC230" s="335"/>
      <c r="AD230" s="335">
        <f t="shared" si="116"/>
        <v>113.09280485548128</v>
      </c>
      <c r="AE230" s="335">
        <f t="shared" si="122"/>
        <v>114.08238152953383</v>
      </c>
      <c r="AF230" s="360">
        <f t="shared" si="104"/>
        <v>13457.05420112822</v>
      </c>
      <c r="AH230" s="359">
        <f t="shared" si="117"/>
        <v>47907</v>
      </c>
      <c r="AI230" s="334">
        <f t="shared" si="105"/>
        <v>218</v>
      </c>
      <c r="AJ230" s="335">
        <f t="shared" si="106"/>
        <v>227.1751863850151</v>
      </c>
      <c r="AK230" s="335"/>
      <c r="AL230" s="335">
        <f t="shared" si="118"/>
        <v>113.09280485548128</v>
      </c>
      <c r="AM230" s="335">
        <f t="shared" si="123"/>
        <v>114.08238152953383</v>
      </c>
      <c r="AN230" s="360">
        <f t="shared" si="107"/>
        <v>13457.05420112822</v>
      </c>
    </row>
    <row r="231" spans="1:40" ht="12.75">
      <c r="A231" s="359">
        <f t="shared" si="108"/>
        <v>47938</v>
      </c>
      <c r="B231" s="334">
        <f t="shared" si="93"/>
        <v>219</v>
      </c>
      <c r="C231" s="335">
        <f t="shared" si="94"/>
        <v>227.1751863850151</v>
      </c>
      <c r="D231" s="335"/>
      <c r="E231" s="335">
        <f t="shared" si="109"/>
        <v>112.14211834273516</v>
      </c>
      <c r="F231" s="335">
        <f t="shared" si="119"/>
        <v>115.03306804227995</v>
      </c>
      <c r="G231" s="360">
        <f t="shared" si="95"/>
        <v>13342.02113308594</v>
      </c>
      <c r="H231" s="336" t="e">
        <f t="shared" si="110"/>
        <v>#VALUE!</v>
      </c>
      <c r="I231" s="333"/>
      <c r="J231" s="359">
        <f t="shared" si="111"/>
        <v>47938</v>
      </c>
      <c r="K231" s="334">
        <f t="shared" si="96"/>
        <v>219</v>
      </c>
      <c r="L231" s="335">
        <f t="shared" si="97"/>
        <v>227.1751863850151</v>
      </c>
      <c r="M231" s="335"/>
      <c r="N231" s="335">
        <f t="shared" si="112"/>
        <v>112.14211834273516</v>
      </c>
      <c r="O231" s="335">
        <f t="shared" si="120"/>
        <v>115.03306804227995</v>
      </c>
      <c r="P231" s="360">
        <f t="shared" si="98"/>
        <v>13342.02113308594</v>
      </c>
      <c r="R231" s="359">
        <f t="shared" si="113"/>
        <v>47938</v>
      </c>
      <c r="S231" s="334">
        <f t="shared" si="99"/>
        <v>219</v>
      </c>
      <c r="T231" s="335">
        <f t="shared" si="100"/>
        <v>227.1751863850151</v>
      </c>
      <c r="U231" s="335"/>
      <c r="V231" s="335">
        <f t="shared" si="114"/>
        <v>112.14211834273516</v>
      </c>
      <c r="W231" s="335">
        <f t="shared" si="121"/>
        <v>115.03306804227995</v>
      </c>
      <c r="X231" s="360">
        <f t="shared" si="101"/>
        <v>13342.02113308594</v>
      </c>
      <c r="Z231" s="359">
        <f t="shared" si="115"/>
        <v>47938</v>
      </c>
      <c r="AA231" s="334">
        <f t="shared" si="102"/>
        <v>219</v>
      </c>
      <c r="AB231" s="335">
        <f t="shared" si="103"/>
        <v>227.1751863850151</v>
      </c>
      <c r="AC231" s="335"/>
      <c r="AD231" s="335">
        <f t="shared" si="116"/>
        <v>112.14211834273516</v>
      </c>
      <c r="AE231" s="335">
        <f t="shared" si="122"/>
        <v>115.03306804227995</v>
      </c>
      <c r="AF231" s="360">
        <f t="shared" si="104"/>
        <v>13342.02113308594</v>
      </c>
      <c r="AH231" s="359">
        <f t="shared" si="117"/>
        <v>47938</v>
      </c>
      <c r="AI231" s="334">
        <f t="shared" si="105"/>
        <v>219</v>
      </c>
      <c r="AJ231" s="335">
        <f t="shared" si="106"/>
        <v>227.1751863850151</v>
      </c>
      <c r="AK231" s="335"/>
      <c r="AL231" s="335">
        <f t="shared" si="118"/>
        <v>112.14211834273516</v>
      </c>
      <c r="AM231" s="335">
        <f t="shared" si="123"/>
        <v>115.03306804227995</v>
      </c>
      <c r="AN231" s="360">
        <f t="shared" si="107"/>
        <v>13342.02113308594</v>
      </c>
    </row>
    <row r="232" spans="1:40" ht="12.75">
      <c r="A232" s="359">
        <f t="shared" si="108"/>
        <v>47968</v>
      </c>
      <c r="B232" s="334">
        <f t="shared" si="93"/>
        <v>220</v>
      </c>
      <c r="C232" s="335">
        <f t="shared" si="94"/>
        <v>227.1751863850151</v>
      </c>
      <c r="D232" s="335"/>
      <c r="E232" s="335">
        <f t="shared" si="109"/>
        <v>111.18350944238283</v>
      </c>
      <c r="F232" s="335">
        <f t="shared" si="119"/>
        <v>115.99167694263228</v>
      </c>
      <c r="G232" s="360">
        <f t="shared" si="95"/>
        <v>13226.029456143307</v>
      </c>
      <c r="H232" s="336" t="e">
        <f t="shared" si="110"/>
        <v>#VALUE!</v>
      </c>
      <c r="I232" s="333"/>
      <c r="J232" s="359">
        <f t="shared" si="111"/>
        <v>47968</v>
      </c>
      <c r="K232" s="334">
        <f t="shared" si="96"/>
        <v>220</v>
      </c>
      <c r="L232" s="335">
        <f t="shared" si="97"/>
        <v>227.1751863850151</v>
      </c>
      <c r="M232" s="335"/>
      <c r="N232" s="335">
        <f t="shared" si="112"/>
        <v>111.18350944238283</v>
      </c>
      <c r="O232" s="335">
        <f t="shared" si="120"/>
        <v>115.99167694263228</v>
      </c>
      <c r="P232" s="360">
        <f t="shared" si="98"/>
        <v>13226.029456143307</v>
      </c>
      <c r="R232" s="359">
        <f t="shared" si="113"/>
        <v>47968</v>
      </c>
      <c r="S232" s="334">
        <f t="shared" si="99"/>
        <v>220</v>
      </c>
      <c r="T232" s="335">
        <f t="shared" si="100"/>
        <v>227.1751863850151</v>
      </c>
      <c r="U232" s="335"/>
      <c r="V232" s="335">
        <f t="shared" si="114"/>
        <v>111.18350944238283</v>
      </c>
      <c r="W232" s="335">
        <f t="shared" si="121"/>
        <v>115.99167694263228</v>
      </c>
      <c r="X232" s="360">
        <f t="shared" si="101"/>
        <v>13226.029456143307</v>
      </c>
      <c r="Z232" s="359">
        <f t="shared" si="115"/>
        <v>47968</v>
      </c>
      <c r="AA232" s="334">
        <f t="shared" si="102"/>
        <v>220</v>
      </c>
      <c r="AB232" s="335">
        <f t="shared" si="103"/>
        <v>227.1751863850151</v>
      </c>
      <c r="AC232" s="335"/>
      <c r="AD232" s="335">
        <f t="shared" si="116"/>
        <v>111.18350944238283</v>
      </c>
      <c r="AE232" s="335">
        <f t="shared" si="122"/>
        <v>115.99167694263228</v>
      </c>
      <c r="AF232" s="360">
        <f t="shared" si="104"/>
        <v>13226.029456143307</v>
      </c>
      <c r="AH232" s="359">
        <f t="shared" si="117"/>
        <v>47968</v>
      </c>
      <c r="AI232" s="334">
        <f t="shared" si="105"/>
        <v>220</v>
      </c>
      <c r="AJ232" s="335">
        <f t="shared" si="106"/>
        <v>227.1751863850151</v>
      </c>
      <c r="AK232" s="335"/>
      <c r="AL232" s="335">
        <f t="shared" si="118"/>
        <v>111.18350944238283</v>
      </c>
      <c r="AM232" s="335">
        <f t="shared" si="123"/>
        <v>115.99167694263228</v>
      </c>
      <c r="AN232" s="360">
        <f t="shared" si="107"/>
        <v>13226.029456143307</v>
      </c>
    </row>
    <row r="233" spans="1:40" ht="12.75">
      <c r="A233" s="359">
        <f t="shared" si="108"/>
        <v>47999</v>
      </c>
      <c r="B233" s="334">
        <f t="shared" si="93"/>
        <v>221</v>
      </c>
      <c r="C233" s="335">
        <f t="shared" si="94"/>
        <v>227.1751863850151</v>
      </c>
      <c r="D233" s="335"/>
      <c r="E233" s="335">
        <f t="shared" si="109"/>
        <v>110.21691213452756</v>
      </c>
      <c r="F233" s="335">
        <f t="shared" si="119"/>
        <v>116.95827425048755</v>
      </c>
      <c r="G233" s="360">
        <f t="shared" si="95"/>
        <v>13109.07118189282</v>
      </c>
      <c r="H233" s="336" t="e">
        <f t="shared" si="110"/>
        <v>#VALUE!</v>
      </c>
      <c r="I233" s="333"/>
      <c r="J233" s="359">
        <f t="shared" si="111"/>
        <v>47999</v>
      </c>
      <c r="K233" s="334">
        <f t="shared" si="96"/>
        <v>221</v>
      </c>
      <c r="L233" s="335">
        <f t="shared" si="97"/>
        <v>227.1751863850151</v>
      </c>
      <c r="M233" s="335"/>
      <c r="N233" s="335">
        <f t="shared" si="112"/>
        <v>110.21691213452756</v>
      </c>
      <c r="O233" s="335">
        <f t="shared" si="120"/>
        <v>116.95827425048755</v>
      </c>
      <c r="P233" s="360">
        <f t="shared" si="98"/>
        <v>13109.07118189282</v>
      </c>
      <c r="R233" s="359">
        <f t="shared" si="113"/>
        <v>47999</v>
      </c>
      <c r="S233" s="334">
        <f t="shared" si="99"/>
        <v>221</v>
      </c>
      <c r="T233" s="335">
        <f t="shared" si="100"/>
        <v>227.1751863850151</v>
      </c>
      <c r="U233" s="335"/>
      <c r="V233" s="335">
        <f t="shared" si="114"/>
        <v>110.21691213452756</v>
      </c>
      <c r="W233" s="335">
        <f t="shared" si="121"/>
        <v>116.95827425048755</v>
      </c>
      <c r="X233" s="360">
        <f t="shared" si="101"/>
        <v>13109.07118189282</v>
      </c>
      <c r="Z233" s="359">
        <f t="shared" si="115"/>
        <v>47999</v>
      </c>
      <c r="AA233" s="334">
        <f t="shared" si="102"/>
        <v>221</v>
      </c>
      <c r="AB233" s="335">
        <f t="shared" si="103"/>
        <v>227.1751863850151</v>
      </c>
      <c r="AC233" s="335"/>
      <c r="AD233" s="335">
        <f t="shared" si="116"/>
        <v>110.21691213452756</v>
      </c>
      <c r="AE233" s="335">
        <f t="shared" si="122"/>
        <v>116.95827425048755</v>
      </c>
      <c r="AF233" s="360">
        <f t="shared" si="104"/>
        <v>13109.07118189282</v>
      </c>
      <c r="AH233" s="359">
        <f t="shared" si="117"/>
        <v>47999</v>
      </c>
      <c r="AI233" s="334">
        <f t="shared" si="105"/>
        <v>221</v>
      </c>
      <c r="AJ233" s="335">
        <f t="shared" si="106"/>
        <v>227.1751863850151</v>
      </c>
      <c r="AK233" s="335"/>
      <c r="AL233" s="335">
        <f t="shared" si="118"/>
        <v>110.21691213452756</v>
      </c>
      <c r="AM233" s="335">
        <f t="shared" si="123"/>
        <v>116.95827425048755</v>
      </c>
      <c r="AN233" s="360">
        <f t="shared" si="107"/>
        <v>13109.07118189282</v>
      </c>
    </row>
    <row r="234" spans="1:40" ht="12.75">
      <c r="A234" s="359">
        <f t="shared" si="108"/>
        <v>48029</v>
      </c>
      <c r="B234" s="334">
        <f t="shared" si="93"/>
        <v>222</v>
      </c>
      <c r="C234" s="335">
        <f t="shared" si="94"/>
        <v>227.1751863850151</v>
      </c>
      <c r="D234" s="335"/>
      <c r="E234" s="335">
        <f t="shared" si="109"/>
        <v>109.24225984910683</v>
      </c>
      <c r="F234" s="335">
        <f t="shared" si="119"/>
        <v>117.93292653590828</v>
      </c>
      <c r="G234" s="360">
        <f t="shared" si="95"/>
        <v>12991.138255356911</v>
      </c>
      <c r="H234" s="336" t="e">
        <f t="shared" si="110"/>
        <v>#VALUE!</v>
      </c>
      <c r="I234" s="333"/>
      <c r="J234" s="359">
        <f t="shared" si="111"/>
        <v>48029</v>
      </c>
      <c r="K234" s="334">
        <f t="shared" si="96"/>
        <v>222</v>
      </c>
      <c r="L234" s="335">
        <f t="shared" si="97"/>
        <v>227.1751863850151</v>
      </c>
      <c r="M234" s="335"/>
      <c r="N234" s="335">
        <f t="shared" si="112"/>
        <v>109.24225984910683</v>
      </c>
      <c r="O234" s="335">
        <f t="shared" si="120"/>
        <v>117.93292653590828</v>
      </c>
      <c r="P234" s="360">
        <f t="shared" si="98"/>
        <v>12991.138255356911</v>
      </c>
      <c r="R234" s="359">
        <f t="shared" si="113"/>
        <v>48029</v>
      </c>
      <c r="S234" s="334">
        <f t="shared" si="99"/>
        <v>222</v>
      </c>
      <c r="T234" s="335">
        <f t="shared" si="100"/>
        <v>227.1751863850151</v>
      </c>
      <c r="U234" s="335"/>
      <c r="V234" s="335">
        <f t="shared" si="114"/>
        <v>109.24225984910683</v>
      </c>
      <c r="W234" s="335">
        <f t="shared" si="121"/>
        <v>117.93292653590828</v>
      </c>
      <c r="X234" s="360">
        <f t="shared" si="101"/>
        <v>12991.138255356911</v>
      </c>
      <c r="Z234" s="359">
        <f t="shared" si="115"/>
        <v>48029</v>
      </c>
      <c r="AA234" s="334">
        <f t="shared" si="102"/>
        <v>222</v>
      </c>
      <c r="AB234" s="335">
        <f t="shared" si="103"/>
        <v>227.1751863850151</v>
      </c>
      <c r="AC234" s="335"/>
      <c r="AD234" s="335">
        <f t="shared" si="116"/>
        <v>109.24225984910683</v>
      </c>
      <c r="AE234" s="335">
        <f t="shared" si="122"/>
        <v>117.93292653590828</v>
      </c>
      <c r="AF234" s="360">
        <f t="shared" si="104"/>
        <v>12991.138255356911</v>
      </c>
      <c r="AH234" s="359">
        <f t="shared" si="117"/>
        <v>48029</v>
      </c>
      <c r="AI234" s="334">
        <f t="shared" si="105"/>
        <v>222</v>
      </c>
      <c r="AJ234" s="335">
        <f t="shared" si="106"/>
        <v>227.1751863850151</v>
      </c>
      <c r="AK234" s="335"/>
      <c r="AL234" s="335">
        <f t="shared" si="118"/>
        <v>109.24225984910683</v>
      </c>
      <c r="AM234" s="335">
        <f t="shared" si="123"/>
        <v>117.93292653590828</v>
      </c>
      <c r="AN234" s="360">
        <f t="shared" si="107"/>
        <v>12991.138255356911</v>
      </c>
    </row>
    <row r="235" spans="1:40" ht="12.75">
      <c r="A235" s="359">
        <f t="shared" si="108"/>
        <v>48060</v>
      </c>
      <c r="B235" s="334">
        <f t="shared" si="93"/>
        <v>223</v>
      </c>
      <c r="C235" s="335">
        <f t="shared" si="94"/>
        <v>227.1751863850151</v>
      </c>
      <c r="D235" s="335"/>
      <c r="E235" s="335">
        <f t="shared" si="109"/>
        <v>108.25948546130759</v>
      </c>
      <c r="F235" s="335">
        <f t="shared" si="119"/>
        <v>118.91570092370752</v>
      </c>
      <c r="G235" s="360">
        <f t="shared" si="95"/>
        <v>12872.222554433203</v>
      </c>
      <c r="H235" s="336" t="e">
        <f t="shared" si="110"/>
        <v>#VALUE!</v>
      </c>
      <c r="I235" s="333"/>
      <c r="J235" s="359">
        <f t="shared" si="111"/>
        <v>48060</v>
      </c>
      <c r="K235" s="334">
        <f t="shared" si="96"/>
        <v>223</v>
      </c>
      <c r="L235" s="335">
        <f t="shared" si="97"/>
        <v>227.1751863850151</v>
      </c>
      <c r="M235" s="335"/>
      <c r="N235" s="335">
        <f t="shared" si="112"/>
        <v>108.25948546130759</v>
      </c>
      <c r="O235" s="335">
        <f t="shared" si="120"/>
        <v>118.91570092370752</v>
      </c>
      <c r="P235" s="360">
        <f t="shared" si="98"/>
        <v>12872.222554433203</v>
      </c>
      <c r="R235" s="359">
        <f t="shared" si="113"/>
        <v>48060</v>
      </c>
      <c r="S235" s="334">
        <f t="shared" si="99"/>
        <v>223</v>
      </c>
      <c r="T235" s="335">
        <f t="shared" si="100"/>
        <v>227.1751863850151</v>
      </c>
      <c r="U235" s="335"/>
      <c r="V235" s="335">
        <f t="shared" si="114"/>
        <v>108.25948546130759</v>
      </c>
      <c r="W235" s="335">
        <f t="shared" si="121"/>
        <v>118.91570092370752</v>
      </c>
      <c r="X235" s="360">
        <f t="shared" si="101"/>
        <v>12872.222554433203</v>
      </c>
      <c r="Z235" s="359">
        <f t="shared" si="115"/>
        <v>48060</v>
      </c>
      <c r="AA235" s="334">
        <f t="shared" si="102"/>
        <v>223</v>
      </c>
      <c r="AB235" s="335">
        <f t="shared" si="103"/>
        <v>227.1751863850151</v>
      </c>
      <c r="AC235" s="335"/>
      <c r="AD235" s="335">
        <f t="shared" si="116"/>
        <v>108.25948546130759</v>
      </c>
      <c r="AE235" s="335">
        <f t="shared" si="122"/>
        <v>118.91570092370752</v>
      </c>
      <c r="AF235" s="360">
        <f t="shared" si="104"/>
        <v>12872.222554433203</v>
      </c>
      <c r="AH235" s="359">
        <f t="shared" si="117"/>
        <v>48060</v>
      </c>
      <c r="AI235" s="334">
        <f t="shared" si="105"/>
        <v>223</v>
      </c>
      <c r="AJ235" s="335">
        <f t="shared" si="106"/>
        <v>227.1751863850151</v>
      </c>
      <c r="AK235" s="335"/>
      <c r="AL235" s="335">
        <f t="shared" si="118"/>
        <v>108.25948546130759</v>
      </c>
      <c r="AM235" s="335">
        <f t="shared" si="123"/>
        <v>118.91570092370752</v>
      </c>
      <c r="AN235" s="360">
        <f t="shared" si="107"/>
        <v>12872.222554433203</v>
      </c>
    </row>
    <row r="236" spans="1:40" ht="12.75">
      <c r="A236" s="359">
        <f t="shared" si="108"/>
        <v>48091</v>
      </c>
      <c r="B236" s="334">
        <f t="shared" si="93"/>
        <v>224</v>
      </c>
      <c r="C236" s="335">
        <f t="shared" si="94"/>
        <v>227.1751863850151</v>
      </c>
      <c r="D236" s="335"/>
      <c r="E236" s="335">
        <f t="shared" si="109"/>
        <v>107.26852128694335</v>
      </c>
      <c r="F236" s="335">
        <f t="shared" si="119"/>
        <v>119.90666509807176</v>
      </c>
      <c r="G236" s="360">
        <f t="shared" si="95"/>
        <v>12752.315889335132</v>
      </c>
      <c r="H236" s="336" t="e">
        <f t="shared" si="110"/>
        <v>#VALUE!</v>
      </c>
      <c r="I236" s="333"/>
      <c r="J236" s="359">
        <f t="shared" si="111"/>
        <v>48091</v>
      </c>
      <c r="K236" s="334">
        <f t="shared" si="96"/>
        <v>224</v>
      </c>
      <c r="L236" s="335">
        <f t="shared" si="97"/>
        <v>227.1751863850151</v>
      </c>
      <c r="M236" s="335"/>
      <c r="N236" s="335">
        <f t="shared" si="112"/>
        <v>107.26852128694335</v>
      </c>
      <c r="O236" s="335">
        <f t="shared" si="120"/>
        <v>119.90666509807176</v>
      </c>
      <c r="P236" s="360">
        <f t="shared" si="98"/>
        <v>12752.315889335132</v>
      </c>
      <c r="R236" s="359">
        <f t="shared" si="113"/>
        <v>48091</v>
      </c>
      <c r="S236" s="334">
        <f t="shared" si="99"/>
        <v>224</v>
      </c>
      <c r="T236" s="335">
        <f t="shared" si="100"/>
        <v>227.1751863850151</v>
      </c>
      <c r="U236" s="335"/>
      <c r="V236" s="335">
        <f t="shared" si="114"/>
        <v>107.26852128694335</v>
      </c>
      <c r="W236" s="335">
        <f t="shared" si="121"/>
        <v>119.90666509807176</v>
      </c>
      <c r="X236" s="360">
        <f t="shared" si="101"/>
        <v>12752.315889335132</v>
      </c>
      <c r="Z236" s="359">
        <f t="shared" si="115"/>
        <v>48091</v>
      </c>
      <c r="AA236" s="334">
        <f t="shared" si="102"/>
        <v>224</v>
      </c>
      <c r="AB236" s="335">
        <f t="shared" si="103"/>
        <v>227.1751863850151</v>
      </c>
      <c r="AC236" s="335"/>
      <c r="AD236" s="335">
        <f t="shared" si="116"/>
        <v>107.26852128694335</v>
      </c>
      <c r="AE236" s="335">
        <f t="shared" si="122"/>
        <v>119.90666509807176</v>
      </c>
      <c r="AF236" s="360">
        <f t="shared" si="104"/>
        <v>12752.315889335132</v>
      </c>
      <c r="AH236" s="359">
        <f t="shared" si="117"/>
        <v>48091</v>
      </c>
      <c r="AI236" s="334">
        <f t="shared" si="105"/>
        <v>224</v>
      </c>
      <c r="AJ236" s="335">
        <f t="shared" si="106"/>
        <v>227.1751863850151</v>
      </c>
      <c r="AK236" s="335"/>
      <c r="AL236" s="335">
        <f t="shared" si="118"/>
        <v>107.26852128694335</v>
      </c>
      <c r="AM236" s="335">
        <f t="shared" si="123"/>
        <v>119.90666509807176</v>
      </c>
      <c r="AN236" s="360">
        <f t="shared" si="107"/>
        <v>12752.315889335132</v>
      </c>
    </row>
    <row r="237" spans="1:40" ht="12.75">
      <c r="A237" s="359">
        <f t="shared" si="108"/>
        <v>48121</v>
      </c>
      <c r="B237" s="334">
        <f t="shared" si="93"/>
        <v>225</v>
      </c>
      <c r="C237" s="335">
        <f t="shared" si="94"/>
        <v>227.1751863850151</v>
      </c>
      <c r="D237" s="335"/>
      <c r="E237" s="335">
        <f t="shared" si="109"/>
        <v>106.26929907779277</v>
      </c>
      <c r="F237" s="335">
        <f t="shared" si="119"/>
        <v>120.90588730722234</v>
      </c>
      <c r="G237" s="360">
        <f t="shared" si="95"/>
        <v>12631.41000202791</v>
      </c>
      <c r="H237" s="336" t="e">
        <f t="shared" si="110"/>
        <v>#VALUE!</v>
      </c>
      <c r="I237" s="333"/>
      <c r="J237" s="359">
        <f t="shared" si="111"/>
        <v>48121</v>
      </c>
      <c r="K237" s="334">
        <f t="shared" si="96"/>
        <v>225</v>
      </c>
      <c r="L237" s="335">
        <f t="shared" si="97"/>
        <v>227.1751863850151</v>
      </c>
      <c r="M237" s="335"/>
      <c r="N237" s="335">
        <f t="shared" si="112"/>
        <v>106.26929907779277</v>
      </c>
      <c r="O237" s="335">
        <f t="shared" si="120"/>
        <v>120.90588730722234</v>
      </c>
      <c r="P237" s="360">
        <f t="shared" si="98"/>
        <v>12631.41000202791</v>
      </c>
      <c r="R237" s="359">
        <f t="shared" si="113"/>
        <v>48121</v>
      </c>
      <c r="S237" s="334">
        <f t="shared" si="99"/>
        <v>225</v>
      </c>
      <c r="T237" s="335">
        <f t="shared" si="100"/>
        <v>227.1751863850151</v>
      </c>
      <c r="U237" s="335"/>
      <c r="V237" s="335">
        <f t="shared" si="114"/>
        <v>106.26929907779277</v>
      </c>
      <c r="W237" s="335">
        <f t="shared" si="121"/>
        <v>120.90588730722234</v>
      </c>
      <c r="X237" s="360">
        <f t="shared" si="101"/>
        <v>12631.41000202791</v>
      </c>
      <c r="Z237" s="359">
        <f t="shared" si="115"/>
        <v>48121</v>
      </c>
      <c r="AA237" s="334">
        <f t="shared" si="102"/>
        <v>225</v>
      </c>
      <c r="AB237" s="335">
        <f t="shared" si="103"/>
        <v>227.1751863850151</v>
      </c>
      <c r="AC237" s="335"/>
      <c r="AD237" s="335">
        <f t="shared" si="116"/>
        <v>106.26929907779277</v>
      </c>
      <c r="AE237" s="335">
        <f t="shared" si="122"/>
        <v>120.90588730722234</v>
      </c>
      <c r="AF237" s="360">
        <f t="shared" si="104"/>
        <v>12631.41000202791</v>
      </c>
      <c r="AH237" s="359">
        <f t="shared" si="117"/>
        <v>48121</v>
      </c>
      <c r="AI237" s="334">
        <f t="shared" si="105"/>
        <v>225</v>
      </c>
      <c r="AJ237" s="335">
        <f t="shared" si="106"/>
        <v>227.1751863850151</v>
      </c>
      <c r="AK237" s="335"/>
      <c r="AL237" s="335">
        <f t="shared" si="118"/>
        <v>106.26929907779277</v>
      </c>
      <c r="AM237" s="335">
        <f t="shared" si="123"/>
        <v>120.90588730722234</v>
      </c>
      <c r="AN237" s="360">
        <f t="shared" si="107"/>
        <v>12631.41000202791</v>
      </c>
    </row>
    <row r="238" spans="1:40" ht="12.75">
      <c r="A238" s="359">
        <f t="shared" si="108"/>
        <v>48152</v>
      </c>
      <c r="B238" s="334">
        <f t="shared" si="93"/>
        <v>226</v>
      </c>
      <c r="C238" s="335">
        <f t="shared" si="94"/>
        <v>227.1751863850151</v>
      </c>
      <c r="D238" s="335"/>
      <c r="E238" s="335">
        <f t="shared" si="109"/>
        <v>105.26175001689924</v>
      </c>
      <c r="F238" s="335">
        <f t="shared" si="119"/>
        <v>121.91343636811587</v>
      </c>
      <c r="G238" s="360">
        <f t="shared" si="95"/>
        <v>12509.496565659794</v>
      </c>
      <c r="H238" s="336" t="e">
        <f t="shared" si="110"/>
        <v>#VALUE!</v>
      </c>
      <c r="I238" s="333"/>
      <c r="J238" s="359">
        <f t="shared" si="111"/>
        <v>48152</v>
      </c>
      <c r="K238" s="334">
        <f t="shared" si="96"/>
        <v>226</v>
      </c>
      <c r="L238" s="335">
        <f t="shared" si="97"/>
        <v>227.1751863850151</v>
      </c>
      <c r="M238" s="335"/>
      <c r="N238" s="335">
        <f t="shared" si="112"/>
        <v>105.26175001689924</v>
      </c>
      <c r="O238" s="335">
        <f t="shared" si="120"/>
        <v>121.91343636811587</v>
      </c>
      <c r="P238" s="360">
        <f t="shared" si="98"/>
        <v>12509.496565659794</v>
      </c>
      <c r="R238" s="359">
        <f t="shared" si="113"/>
        <v>48152</v>
      </c>
      <c r="S238" s="334">
        <f t="shared" si="99"/>
        <v>226</v>
      </c>
      <c r="T238" s="335">
        <f t="shared" si="100"/>
        <v>227.1751863850151</v>
      </c>
      <c r="U238" s="335"/>
      <c r="V238" s="335">
        <f t="shared" si="114"/>
        <v>105.26175001689924</v>
      </c>
      <c r="W238" s="335">
        <f t="shared" si="121"/>
        <v>121.91343636811587</v>
      </c>
      <c r="X238" s="360">
        <f t="shared" si="101"/>
        <v>12509.496565659794</v>
      </c>
      <c r="Z238" s="359">
        <f t="shared" si="115"/>
        <v>48152</v>
      </c>
      <c r="AA238" s="334">
        <f t="shared" si="102"/>
        <v>226</v>
      </c>
      <c r="AB238" s="335">
        <f t="shared" si="103"/>
        <v>227.1751863850151</v>
      </c>
      <c r="AC238" s="335"/>
      <c r="AD238" s="335">
        <f t="shared" si="116"/>
        <v>105.26175001689924</v>
      </c>
      <c r="AE238" s="335">
        <f t="shared" si="122"/>
        <v>121.91343636811587</v>
      </c>
      <c r="AF238" s="360">
        <f t="shared" si="104"/>
        <v>12509.496565659794</v>
      </c>
      <c r="AH238" s="359">
        <f t="shared" si="117"/>
        <v>48152</v>
      </c>
      <c r="AI238" s="334">
        <f t="shared" si="105"/>
        <v>226</v>
      </c>
      <c r="AJ238" s="335">
        <f t="shared" si="106"/>
        <v>227.1751863850151</v>
      </c>
      <c r="AK238" s="335"/>
      <c r="AL238" s="335">
        <f t="shared" si="118"/>
        <v>105.26175001689924</v>
      </c>
      <c r="AM238" s="335">
        <f t="shared" si="123"/>
        <v>121.91343636811587</v>
      </c>
      <c r="AN238" s="360">
        <f t="shared" si="107"/>
        <v>12509.496565659794</v>
      </c>
    </row>
    <row r="239" spans="1:40" ht="12.75">
      <c r="A239" s="359">
        <f t="shared" si="108"/>
        <v>48182</v>
      </c>
      <c r="B239" s="334">
        <f t="shared" si="93"/>
        <v>227</v>
      </c>
      <c r="C239" s="335">
        <f t="shared" si="94"/>
        <v>227.1751863850151</v>
      </c>
      <c r="D239" s="335"/>
      <c r="E239" s="335">
        <f t="shared" si="109"/>
        <v>104.24580471383162</v>
      </c>
      <c r="F239" s="335">
        <f t="shared" si="119"/>
        <v>122.92938167118349</v>
      </c>
      <c r="G239" s="360">
        <f t="shared" si="95"/>
        <v>12386.56718398861</v>
      </c>
      <c r="H239" s="336" t="e">
        <f t="shared" si="110"/>
        <v>#VALUE!</v>
      </c>
      <c r="I239" s="333"/>
      <c r="J239" s="359">
        <f t="shared" si="111"/>
        <v>48182</v>
      </c>
      <c r="K239" s="334">
        <f t="shared" si="96"/>
        <v>227</v>
      </c>
      <c r="L239" s="335">
        <f t="shared" si="97"/>
        <v>227.1751863850151</v>
      </c>
      <c r="M239" s="335"/>
      <c r="N239" s="335">
        <f t="shared" si="112"/>
        <v>104.24580471383162</v>
      </c>
      <c r="O239" s="335">
        <f t="shared" si="120"/>
        <v>122.92938167118349</v>
      </c>
      <c r="P239" s="360">
        <f t="shared" si="98"/>
        <v>12386.56718398861</v>
      </c>
      <c r="R239" s="359">
        <f t="shared" si="113"/>
        <v>48182</v>
      </c>
      <c r="S239" s="334">
        <f t="shared" si="99"/>
        <v>227</v>
      </c>
      <c r="T239" s="335">
        <f t="shared" si="100"/>
        <v>227.1751863850151</v>
      </c>
      <c r="U239" s="335"/>
      <c r="V239" s="335">
        <f t="shared" si="114"/>
        <v>104.24580471383162</v>
      </c>
      <c r="W239" s="335">
        <f t="shared" si="121"/>
        <v>122.92938167118349</v>
      </c>
      <c r="X239" s="360">
        <f t="shared" si="101"/>
        <v>12386.56718398861</v>
      </c>
      <c r="Z239" s="359">
        <f t="shared" si="115"/>
        <v>48182</v>
      </c>
      <c r="AA239" s="334">
        <f t="shared" si="102"/>
        <v>227</v>
      </c>
      <c r="AB239" s="335">
        <f t="shared" si="103"/>
        <v>227.1751863850151</v>
      </c>
      <c r="AC239" s="335"/>
      <c r="AD239" s="335">
        <f t="shared" si="116"/>
        <v>104.24580471383162</v>
      </c>
      <c r="AE239" s="335">
        <f t="shared" si="122"/>
        <v>122.92938167118349</v>
      </c>
      <c r="AF239" s="360">
        <f t="shared" si="104"/>
        <v>12386.56718398861</v>
      </c>
      <c r="AH239" s="359">
        <f t="shared" si="117"/>
        <v>48182</v>
      </c>
      <c r="AI239" s="334">
        <f t="shared" si="105"/>
        <v>227</v>
      </c>
      <c r="AJ239" s="335">
        <f t="shared" si="106"/>
        <v>227.1751863850151</v>
      </c>
      <c r="AK239" s="335"/>
      <c r="AL239" s="335">
        <f t="shared" si="118"/>
        <v>104.24580471383162</v>
      </c>
      <c r="AM239" s="335">
        <f t="shared" si="123"/>
        <v>122.92938167118349</v>
      </c>
      <c r="AN239" s="360">
        <f t="shared" si="107"/>
        <v>12386.56718398861</v>
      </c>
    </row>
    <row r="240" spans="1:40" ht="12.75">
      <c r="A240" s="359">
        <f t="shared" si="108"/>
        <v>48213</v>
      </c>
      <c r="B240" s="334">
        <f t="shared" si="93"/>
        <v>228</v>
      </c>
      <c r="C240" s="335">
        <f t="shared" si="94"/>
        <v>227.1751863850151</v>
      </c>
      <c r="D240" s="335"/>
      <c r="E240" s="335">
        <f t="shared" si="109"/>
        <v>103.2213931999051</v>
      </c>
      <c r="F240" s="335">
        <f t="shared" si="119"/>
        <v>123.95379318511002</v>
      </c>
      <c r="G240" s="360">
        <f t="shared" si="95"/>
        <v>12262.6133908035</v>
      </c>
      <c r="H240" s="336" t="e">
        <f t="shared" si="110"/>
        <v>#VALUE!</v>
      </c>
      <c r="I240" s="333"/>
      <c r="J240" s="359">
        <f t="shared" si="111"/>
        <v>48213</v>
      </c>
      <c r="K240" s="334">
        <f t="shared" si="96"/>
        <v>228</v>
      </c>
      <c r="L240" s="335">
        <f t="shared" si="97"/>
        <v>227.1751863850151</v>
      </c>
      <c r="M240" s="335"/>
      <c r="N240" s="335">
        <f t="shared" si="112"/>
        <v>103.2213931999051</v>
      </c>
      <c r="O240" s="335">
        <f t="shared" si="120"/>
        <v>123.95379318511002</v>
      </c>
      <c r="P240" s="360">
        <f t="shared" si="98"/>
        <v>12262.6133908035</v>
      </c>
      <c r="R240" s="359">
        <f t="shared" si="113"/>
        <v>48213</v>
      </c>
      <c r="S240" s="334">
        <f t="shared" si="99"/>
        <v>228</v>
      </c>
      <c r="T240" s="335">
        <f t="shared" si="100"/>
        <v>227.1751863850151</v>
      </c>
      <c r="U240" s="335"/>
      <c r="V240" s="335">
        <f t="shared" si="114"/>
        <v>103.2213931999051</v>
      </c>
      <c r="W240" s="335">
        <f t="shared" si="121"/>
        <v>123.95379318511002</v>
      </c>
      <c r="X240" s="360">
        <f t="shared" si="101"/>
        <v>12262.6133908035</v>
      </c>
      <c r="Z240" s="359">
        <f t="shared" si="115"/>
        <v>48213</v>
      </c>
      <c r="AA240" s="334">
        <f t="shared" si="102"/>
        <v>228</v>
      </c>
      <c r="AB240" s="335">
        <f t="shared" si="103"/>
        <v>227.1751863850151</v>
      </c>
      <c r="AC240" s="335"/>
      <c r="AD240" s="335">
        <f t="shared" si="116"/>
        <v>103.2213931999051</v>
      </c>
      <c r="AE240" s="335">
        <f t="shared" si="122"/>
        <v>123.95379318511002</v>
      </c>
      <c r="AF240" s="360">
        <f t="shared" si="104"/>
        <v>12262.6133908035</v>
      </c>
      <c r="AH240" s="359">
        <f t="shared" si="117"/>
        <v>48213</v>
      </c>
      <c r="AI240" s="334">
        <f t="shared" si="105"/>
        <v>228</v>
      </c>
      <c r="AJ240" s="335">
        <f t="shared" si="106"/>
        <v>227.1751863850151</v>
      </c>
      <c r="AK240" s="335"/>
      <c r="AL240" s="335">
        <f t="shared" si="118"/>
        <v>103.2213931999051</v>
      </c>
      <c r="AM240" s="335">
        <f t="shared" si="123"/>
        <v>123.95379318511002</v>
      </c>
      <c r="AN240" s="360">
        <f t="shared" si="107"/>
        <v>12262.6133908035</v>
      </c>
    </row>
    <row r="241" spans="1:40" ht="12.75">
      <c r="A241" s="359">
        <f t="shared" si="108"/>
        <v>48244</v>
      </c>
      <c r="B241" s="334">
        <f t="shared" si="93"/>
        <v>229</v>
      </c>
      <c r="C241" s="335">
        <f t="shared" si="94"/>
        <v>227.1751863850151</v>
      </c>
      <c r="D241" s="335"/>
      <c r="E241" s="335">
        <f t="shared" si="109"/>
        <v>102.18844492336251</v>
      </c>
      <c r="F241" s="335">
        <f t="shared" si="119"/>
        <v>124.9867414616526</v>
      </c>
      <c r="G241" s="360">
        <f t="shared" si="95"/>
        <v>12137.626649341848</v>
      </c>
      <c r="H241" s="336" t="e">
        <f t="shared" si="110"/>
        <v>#VALUE!</v>
      </c>
      <c r="I241" s="333"/>
      <c r="J241" s="359">
        <f t="shared" si="111"/>
        <v>48244</v>
      </c>
      <c r="K241" s="334">
        <f t="shared" si="96"/>
        <v>229</v>
      </c>
      <c r="L241" s="335">
        <f t="shared" si="97"/>
        <v>227.1751863850151</v>
      </c>
      <c r="M241" s="335"/>
      <c r="N241" s="335">
        <f t="shared" si="112"/>
        <v>102.18844492336251</v>
      </c>
      <c r="O241" s="335">
        <f t="shared" si="120"/>
        <v>124.9867414616526</v>
      </c>
      <c r="P241" s="360">
        <f t="shared" si="98"/>
        <v>12137.626649341848</v>
      </c>
      <c r="R241" s="359">
        <f t="shared" si="113"/>
        <v>48244</v>
      </c>
      <c r="S241" s="334">
        <f t="shared" si="99"/>
        <v>229</v>
      </c>
      <c r="T241" s="335">
        <f t="shared" si="100"/>
        <v>227.1751863850151</v>
      </c>
      <c r="U241" s="335"/>
      <c r="V241" s="335">
        <f t="shared" si="114"/>
        <v>102.18844492336251</v>
      </c>
      <c r="W241" s="335">
        <f t="shared" si="121"/>
        <v>124.9867414616526</v>
      </c>
      <c r="X241" s="360">
        <f t="shared" si="101"/>
        <v>12137.626649341848</v>
      </c>
      <c r="Z241" s="359">
        <f t="shared" si="115"/>
        <v>48244</v>
      </c>
      <c r="AA241" s="334">
        <f t="shared" si="102"/>
        <v>229</v>
      </c>
      <c r="AB241" s="335">
        <f t="shared" si="103"/>
        <v>227.1751863850151</v>
      </c>
      <c r="AC241" s="335"/>
      <c r="AD241" s="335">
        <f t="shared" si="116"/>
        <v>102.18844492336251</v>
      </c>
      <c r="AE241" s="335">
        <f t="shared" si="122"/>
        <v>124.9867414616526</v>
      </c>
      <c r="AF241" s="360">
        <f t="shared" si="104"/>
        <v>12137.626649341848</v>
      </c>
      <c r="AH241" s="359">
        <f t="shared" si="117"/>
        <v>48244</v>
      </c>
      <c r="AI241" s="334">
        <f t="shared" si="105"/>
        <v>229</v>
      </c>
      <c r="AJ241" s="335">
        <f t="shared" si="106"/>
        <v>227.1751863850151</v>
      </c>
      <c r="AK241" s="335"/>
      <c r="AL241" s="335">
        <f t="shared" si="118"/>
        <v>102.18844492336251</v>
      </c>
      <c r="AM241" s="335">
        <f t="shared" si="123"/>
        <v>124.9867414616526</v>
      </c>
      <c r="AN241" s="360">
        <f t="shared" si="107"/>
        <v>12137.626649341848</v>
      </c>
    </row>
    <row r="242" spans="1:40" ht="12.75">
      <c r="A242" s="359">
        <f t="shared" si="108"/>
        <v>48273</v>
      </c>
      <c r="B242" s="334">
        <f t="shared" si="93"/>
        <v>230</v>
      </c>
      <c r="C242" s="335">
        <f t="shared" si="94"/>
        <v>227.1751863850151</v>
      </c>
      <c r="D242" s="335"/>
      <c r="E242" s="335">
        <f t="shared" si="109"/>
        <v>101.1468887445154</v>
      </c>
      <c r="F242" s="335">
        <f t="shared" si="119"/>
        <v>126.02829764049972</v>
      </c>
      <c r="G242" s="360">
        <f t="shared" si="95"/>
        <v>12011.598351701348</v>
      </c>
      <c r="H242" s="336" t="e">
        <f t="shared" si="110"/>
        <v>#VALUE!</v>
      </c>
      <c r="I242" s="333"/>
      <c r="J242" s="359">
        <f t="shared" si="111"/>
        <v>48273</v>
      </c>
      <c r="K242" s="334">
        <f t="shared" si="96"/>
        <v>230</v>
      </c>
      <c r="L242" s="335">
        <f t="shared" si="97"/>
        <v>227.1751863850151</v>
      </c>
      <c r="M242" s="335"/>
      <c r="N242" s="335">
        <f t="shared" si="112"/>
        <v>101.1468887445154</v>
      </c>
      <c r="O242" s="335">
        <f t="shared" si="120"/>
        <v>126.02829764049972</v>
      </c>
      <c r="P242" s="360">
        <f t="shared" si="98"/>
        <v>12011.598351701348</v>
      </c>
      <c r="R242" s="359">
        <f t="shared" si="113"/>
        <v>48273</v>
      </c>
      <c r="S242" s="334">
        <f t="shared" si="99"/>
        <v>230</v>
      </c>
      <c r="T242" s="335">
        <f t="shared" si="100"/>
        <v>227.1751863850151</v>
      </c>
      <c r="U242" s="335"/>
      <c r="V242" s="335">
        <f t="shared" si="114"/>
        <v>101.1468887445154</v>
      </c>
      <c r="W242" s="335">
        <f t="shared" si="121"/>
        <v>126.02829764049972</v>
      </c>
      <c r="X242" s="360">
        <f t="shared" si="101"/>
        <v>12011.598351701348</v>
      </c>
      <c r="Z242" s="359">
        <f t="shared" si="115"/>
        <v>48273</v>
      </c>
      <c r="AA242" s="334">
        <f t="shared" si="102"/>
        <v>230</v>
      </c>
      <c r="AB242" s="335">
        <f t="shared" si="103"/>
        <v>227.1751863850151</v>
      </c>
      <c r="AC242" s="335"/>
      <c r="AD242" s="335">
        <f t="shared" si="116"/>
        <v>101.1468887445154</v>
      </c>
      <c r="AE242" s="335">
        <f t="shared" si="122"/>
        <v>126.02829764049972</v>
      </c>
      <c r="AF242" s="360">
        <f t="shared" si="104"/>
        <v>12011.598351701348</v>
      </c>
      <c r="AH242" s="359">
        <f t="shared" si="117"/>
        <v>48273</v>
      </c>
      <c r="AI242" s="334">
        <f t="shared" si="105"/>
        <v>230</v>
      </c>
      <c r="AJ242" s="335">
        <f t="shared" si="106"/>
        <v>227.1751863850151</v>
      </c>
      <c r="AK242" s="335"/>
      <c r="AL242" s="335">
        <f t="shared" si="118"/>
        <v>101.1468887445154</v>
      </c>
      <c r="AM242" s="335">
        <f t="shared" si="123"/>
        <v>126.02829764049972</v>
      </c>
      <c r="AN242" s="360">
        <f t="shared" si="107"/>
        <v>12011.598351701348</v>
      </c>
    </row>
    <row r="243" spans="1:40" ht="12.75">
      <c r="A243" s="359">
        <f t="shared" si="108"/>
        <v>48304</v>
      </c>
      <c r="B243" s="334">
        <f t="shared" si="93"/>
        <v>231</v>
      </c>
      <c r="C243" s="335">
        <f t="shared" si="94"/>
        <v>227.1751863850151</v>
      </c>
      <c r="D243" s="335"/>
      <c r="E243" s="335">
        <f t="shared" si="109"/>
        <v>100.09665293084457</v>
      </c>
      <c r="F243" s="335">
        <f t="shared" si="119"/>
        <v>127.07853345417054</v>
      </c>
      <c r="G243" s="360">
        <f t="shared" si="95"/>
        <v>11884.519818247178</v>
      </c>
      <c r="H243" s="336" t="e">
        <f t="shared" si="110"/>
        <v>#VALUE!</v>
      </c>
      <c r="I243" s="333"/>
      <c r="J243" s="359">
        <f t="shared" si="111"/>
        <v>48304</v>
      </c>
      <c r="K243" s="334">
        <f t="shared" si="96"/>
        <v>231</v>
      </c>
      <c r="L243" s="335">
        <f t="shared" si="97"/>
        <v>227.1751863850151</v>
      </c>
      <c r="M243" s="335"/>
      <c r="N243" s="335">
        <f t="shared" si="112"/>
        <v>100.09665293084457</v>
      </c>
      <c r="O243" s="335">
        <f t="shared" si="120"/>
        <v>127.07853345417054</v>
      </c>
      <c r="P243" s="360">
        <f t="shared" si="98"/>
        <v>11884.519818247178</v>
      </c>
      <c r="R243" s="359">
        <f t="shared" si="113"/>
        <v>48304</v>
      </c>
      <c r="S243" s="334">
        <f t="shared" si="99"/>
        <v>231</v>
      </c>
      <c r="T243" s="335">
        <f t="shared" si="100"/>
        <v>227.1751863850151</v>
      </c>
      <c r="U243" s="335"/>
      <c r="V243" s="335">
        <f t="shared" si="114"/>
        <v>100.09665293084457</v>
      </c>
      <c r="W243" s="335">
        <f t="shared" si="121"/>
        <v>127.07853345417054</v>
      </c>
      <c r="X243" s="360">
        <f t="shared" si="101"/>
        <v>11884.519818247178</v>
      </c>
      <c r="Z243" s="359">
        <f t="shared" si="115"/>
        <v>48304</v>
      </c>
      <c r="AA243" s="334">
        <f t="shared" si="102"/>
        <v>231</v>
      </c>
      <c r="AB243" s="335">
        <f t="shared" si="103"/>
        <v>227.1751863850151</v>
      </c>
      <c r="AC243" s="335"/>
      <c r="AD243" s="335">
        <f t="shared" si="116"/>
        <v>100.09665293084457</v>
      </c>
      <c r="AE243" s="335">
        <f t="shared" si="122"/>
        <v>127.07853345417054</v>
      </c>
      <c r="AF243" s="360">
        <f t="shared" si="104"/>
        <v>11884.519818247178</v>
      </c>
      <c r="AH243" s="359">
        <f t="shared" si="117"/>
        <v>48304</v>
      </c>
      <c r="AI243" s="334">
        <f t="shared" si="105"/>
        <v>231</v>
      </c>
      <c r="AJ243" s="335">
        <f t="shared" si="106"/>
        <v>227.1751863850151</v>
      </c>
      <c r="AK243" s="335"/>
      <c r="AL243" s="335">
        <f t="shared" si="118"/>
        <v>100.09665293084457</v>
      </c>
      <c r="AM243" s="335">
        <f t="shared" si="123"/>
        <v>127.07853345417054</v>
      </c>
      <c r="AN243" s="360">
        <f t="shared" si="107"/>
        <v>11884.519818247178</v>
      </c>
    </row>
    <row r="244" spans="1:40" ht="12.75">
      <c r="A244" s="359">
        <f t="shared" si="108"/>
        <v>48334</v>
      </c>
      <c r="B244" s="334">
        <f t="shared" si="93"/>
        <v>232</v>
      </c>
      <c r="C244" s="335">
        <f t="shared" si="94"/>
        <v>227.1751863850151</v>
      </c>
      <c r="D244" s="335"/>
      <c r="E244" s="335">
        <f t="shared" si="109"/>
        <v>99.03766515205982</v>
      </c>
      <c r="F244" s="335">
        <f t="shared" si="119"/>
        <v>128.1375212329553</v>
      </c>
      <c r="G244" s="360">
        <f t="shared" si="95"/>
        <v>11756.382297014223</v>
      </c>
      <c r="H244" s="336" t="e">
        <f t="shared" si="110"/>
        <v>#VALUE!</v>
      </c>
      <c r="I244" s="333"/>
      <c r="J244" s="359">
        <f t="shared" si="111"/>
        <v>48334</v>
      </c>
      <c r="K244" s="334">
        <f t="shared" si="96"/>
        <v>232</v>
      </c>
      <c r="L244" s="335">
        <f t="shared" si="97"/>
        <v>227.1751863850151</v>
      </c>
      <c r="M244" s="335"/>
      <c r="N244" s="335">
        <f t="shared" si="112"/>
        <v>99.03766515205982</v>
      </c>
      <c r="O244" s="335">
        <f t="shared" si="120"/>
        <v>128.1375212329553</v>
      </c>
      <c r="P244" s="360">
        <f t="shared" si="98"/>
        <v>11756.382297014223</v>
      </c>
      <c r="R244" s="359">
        <f t="shared" si="113"/>
        <v>48334</v>
      </c>
      <c r="S244" s="334">
        <f t="shared" si="99"/>
        <v>232</v>
      </c>
      <c r="T244" s="335">
        <f t="shared" si="100"/>
        <v>227.1751863850151</v>
      </c>
      <c r="U244" s="335"/>
      <c r="V244" s="335">
        <f t="shared" si="114"/>
        <v>99.03766515205982</v>
      </c>
      <c r="W244" s="335">
        <f t="shared" si="121"/>
        <v>128.1375212329553</v>
      </c>
      <c r="X244" s="360">
        <f t="shared" si="101"/>
        <v>11756.382297014223</v>
      </c>
      <c r="Z244" s="359">
        <f t="shared" si="115"/>
        <v>48334</v>
      </c>
      <c r="AA244" s="334">
        <f t="shared" si="102"/>
        <v>232</v>
      </c>
      <c r="AB244" s="335">
        <f t="shared" si="103"/>
        <v>227.1751863850151</v>
      </c>
      <c r="AC244" s="335"/>
      <c r="AD244" s="335">
        <f t="shared" si="116"/>
        <v>99.03766515205982</v>
      </c>
      <c r="AE244" s="335">
        <f t="shared" si="122"/>
        <v>128.1375212329553</v>
      </c>
      <c r="AF244" s="360">
        <f t="shared" si="104"/>
        <v>11756.382297014223</v>
      </c>
      <c r="AH244" s="359">
        <f t="shared" si="117"/>
        <v>48334</v>
      </c>
      <c r="AI244" s="334">
        <f t="shared" si="105"/>
        <v>232</v>
      </c>
      <c r="AJ244" s="335">
        <f t="shared" si="106"/>
        <v>227.1751863850151</v>
      </c>
      <c r="AK244" s="335"/>
      <c r="AL244" s="335">
        <f t="shared" si="118"/>
        <v>99.03766515205982</v>
      </c>
      <c r="AM244" s="335">
        <f t="shared" si="123"/>
        <v>128.1375212329553</v>
      </c>
      <c r="AN244" s="360">
        <f t="shared" si="107"/>
        <v>11756.382297014223</v>
      </c>
    </row>
    <row r="245" spans="1:40" ht="12.75">
      <c r="A245" s="359">
        <f t="shared" si="108"/>
        <v>48365</v>
      </c>
      <c r="B245" s="334">
        <f t="shared" si="93"/>
        <v>233</v>
      </c>
      <c r="C245" s="335">
        <f t="shared" si="94"/>
        <v>227.1751863850151</v>
      </c>
      <c r="D245" s="335"/>
      <c r="E245" s="335">
        <f t="shared" si="109"/>
        <v>97.96985247511853</v>
      </c>
      <c r="F245" s="335">
        <f t="shared" si="119"/>
        <v>129.20533390989658</v>
      </c>
      <c r="G245" s="360">
        <f t="shared" si="95"/>
        <v>11627.176963104326</v>
      </c>
      <c r="H245" s="336" t="e">
        <f t="shared" si="110"/>
        <v>#VALUE!</v>
      </c>
      <c r="I245" s="333"/>
      <c r="J245" s="359">
        <f t="shared" si="111"/>
        <v>48365</v>
      </c>
      <c r="K245" s="334">
        <f t="shared" si="96"/>
        <v>233</v>
      </c>
      <c r="L245" s="335">
        <f t="shared" si="97"/>
        <v>227.1751863850151</v>
      </c>
      <c r="M245" s="335"/>
      <c r="N245" s="335">
        <f t="shared" si="112"/>
        <v>97.96985247511853</v>
      </c>
      <c r="O245" s="335">
        <f t="shared" si="120"/>
        <v>129.20533390989658</v>
      </c>
      <c r="P245" s="360">
        <f t="shared" si="98"/>
        <v>11627.176963104326</v>
      </c>
      <c r="R245" s="359">
        <f t="shared" si="113"/>
        <v>48365</v>
      </c>
      <c r="S245" s="334">
        <f t="shared" si="99"/>
        <v>233</v>
      </c>
      <c r="T245" s="335">
        <f t="shared" si="100"/>
        <v>227.1751863850151</v>
      </c>
      <c r="U245" s="335"/>
      <c r="V245" s="335">
        <f t="shared" si="114"/>
        <v>97.96985247511853</v>
      </c>
      <c r="W245" s="335">
        <f t="shared" si="121"/>
        <v>129.20533390989658</v>
      </c>
      <c r="X245" s="360">
        <f t="shared" si="101"/>
        <v>11627.176963104326</v>
      </c>
      <c r="Z245" s="359">
        <f t="shared" si="115"/>
        <v>48365</v>
      </c>
      <c r="AA245" s="334">
        <f t="shared" si="102"/>
        <v>233</v>
      </c>
      <c r="AB245" s="335">
        <f t="shared" si="103"/>
        <v>227.1751863850151</v>
      </c>
      <c r="AC245" s="335"/>
      <c r="AD245" s="335">
        <f t="shared" si="116"/>
        <v>97.96985247511853</v>
      </c>
      <c r="AE245" s="335">
        <f t="shared" si="122"/>
        <v>129.20533390989658</v>
      </c>
      <c r="AF245" s="360">
        <f t="shared" si="104"/>
        <v>11627.176963104326</v>
      </c>
      <c r="AH245" s="359">
        <f t="shared" si="117"/>
        <v>48365</v>
      </c>
      <c r="AI245" s="334">
        <f t="shared" si="105"/>
        <v>233</v>
      </c>
      <c r="AJ245" s="335">
        <f t="shared" si="106"/>
        <v>227.1751863850151</v>
      </c>
      <c r="AK245" s="335"/>
      <c r="AL245" s="335">
        <f t="shared" si="118"/>
        <v>97.96985247511853</v>
      </c>
      <c r="AM245" s="335">
        <f t="shared" si="123"/>
        <v>129.20533390989658</v>
      </c>
      <c r="AN245" s="360">
        <f t="shared" si="107"/>
        <v>11627.176963104326</v>
      </c>
    </row>
    <row r="246" spans="1:40" ht="12.75">
      <c r="A246" s="359">
        <f t="shared" si="108"/>
        <v>48395</v>
      </c>
      <c r="B246" s="334">
        <f t="shared" si="93"/>
        <v>234</v>
      </c>
      <c r="C246" s="335">
        <f t="shared" si="94"/>
        <v>227.1751863850151</v>
      </c>
      <c r="D246" s="335"/>
      <c r="E246" s="335">
        <f t="shared" si="109"/>
        <v>96.89314135920272</v>
      </c>
      <c r="F246" s="335">
        <f t="shared" si="119"/>
        <v>130.2820450258124</v>
      </c>
      <c r="G246" s="360">
        <f t="shared" si="95"/>
        <v>11496.894918078513</v>
      </c>
      <c r="H246" s="336" t="e">
        <f t="shared" si="110"/>
        <v>#VALUE!</v>
      </c>
      <c r="I246" s="333"/>
      <c r="J246" s="359">
        <f t="shared" si="111"/>
        <v>48395</v>
      </c>
      <c r="K246" s="334">
        <f t="shared" si="96"/>
        <v>234</v>
      </c>
      <c r="L246" s="335">
        <f t="shared" si="97"/>
        <v>227.1751863850151</v>
      </c>
      <c r="M246" s="335"/>
      <c r="N246" s="335">
        <f t="shared" si="112"/>
        <v>96.89314135920272</v>
      </c>
      <c r="O246" s="335">
        <f t="shared" si="120"/>
        <v>130.2820450258124</v>
      </c>
      <c r="P246" s="360">
        <f t="shared" si="98"/>
        <v>11496.894918078513</v>
      </c>
      <c r="R246" s="359">
        <f t="shared" si="113"/>
        <v>48395</v>
      </c>
      <c r="S246" s="334">
        <f t="shared" si="99"/>
        <v>234</v>
      </c>
      <c r="T246" s="335">
        <f t="shared" si="100"/>
        <v>227.1751863850151</v>
      </c>
      <c r="U246" s="335"/>
      <c r="V246" s="335">
        <f t="shared" si="114"/>
        <v>96.89314135920272</v>
      </c>
      <c r="W246" s="335">
        <f t="shared" si="121"/>
        <v>130.2820450258124</v>
      </c>
      <c r="X246" s="360">
        <f t="shared" si="101"/>
        <v>11496.894918078513</v>
      </c>
      <c r="Z246" s="359">
        <f t="shared" si="115"/>
        <v>48395</v>
      </c>
      <c r="AA246" s="334">
        <f t="shared" si="102"/>
        <v>234</v>
      </c>
      <c r="AB246" s="335">
        <f t="shared" si="103"/>
        <v>227.1751863850151</v>
      </c>
      <c r="AC246" s="335"/>
      <c r="AD246" s="335">
        <f t="shared" si="116"/>
        <v>96.89314135920272</v>
      </c>
      <c r="AE246" s="335">
        <f t="shared" si="122"/>
        <v>130.2820450258124</v>
      </c>
      <c r="AF246" s="360">
        <f t="shared" si="104"/>
        <v>11496.894918078513</v>
      </c>
      <c r="AH246" s="359">
        <f t="shared" si="117"/>
        <v>48395</v>
      </c>
      <c r="AI246" s="334">
        <f t="shared" si="105"/>
        <v>234</v>
      </c>
      <c r="AJ246" s="335">
        <f t="shared" si="106"/>
        <v>227.1751863850151</v>
      </c>
      <c r="AK246" s="335"/>
      <c r="AL246" s="335">
        <f t="shared" si="118"/>
        <v>96.89314135920272</v>
      </c>
      <c r="AM246" s="335">
        <f t="shared" si="123"/>
        <v>130.2820450258124</v>
      </c>
      <c r="AN246" s="360">
        <f t="shared" si="107"/>
        <v>11496.894918078513</v>
      </c>
    </row>
    <row r="247" spans="1:40" ht="12.75">
      <c r="A247" s="359">
        <f t="shared" si="108"/>
        <v>48426</v>
      </c>
      <c r="B247" s="334">
        <f t="shared" si="93"/>
        <v>235</v>
      </c>
      <c r="C247" s="335">
        <f t="shared" si="94"/>
        <v>227.1751863850151</v>
      </c>
      <c r="D247" s="335"/>
      <c r="E247" s="335">
        <f t="shared" si="109"/>
        <v>95.80745765065427</v>
      </c>
      <c r="F247" s="335">
        <f t="shared" si="119"/>
        <v>131.36772873436084</v>
      </c>
      <c r="G247" s="360">
        <f t="shared" si="95"/>
        <v>11365.527189344151</v>
      </c>
      <c r="H247" s="336" t="e">
        <f t="shared" si="110"/>
        <v>#VALUE!</v>
      </c>
      <c r="I247" s="333"/>
      <c r="J247" s="359">
        <f t="shared" si="111"/>
        <v>48426</v>
      </c>
      <c r="K247" s="334">
        <f t="shared" si="96"/>
        <v>235</v>
      </c>
      <c r="L247" s="335">
        <f t="shared" si="97"/>
        <v>227.1751863850151</v>
      </c>
      <c r="M247" s="335"/>
      <c r="N247" s="335">
        <f t="shared" si="112"/>
        <v>95.80745765065427</v>
      </c>
      <c r="O247" s="335">
        <f t="shared" si="120"/>
        <v>131.36772873436084</v>
      </c>
      <c r="P247" s="360">
        <f t="shared" si="98"/>
        <v>11365.527189344151</v>
      </c>
      <c r="R247" s="359">
        <f t="shared" si="113"/>
        <v>48426</v>
      </c>
      <c r="S247" s="334">
        <f t="shared" si="99"/>
        <v>235</v>
      </c>
      <c r="T247" s="335">
        <f t="shared" si="100"/>
        <v>227.1751863850151</v>
      </c>
      <c r="U247" s="335"/>
      <c r="V247" s="335">
        <f t="shared" si="114"/>
        <v>95.80745765065427</v>
      </c>
      <c r="W247" s="335">
        <f t="shared" si="121"/>
        <v>131.36772873436084</v>
      </c>
      <c r="X247" s="360">
        <f t="shared" si="101"/>
        <v>11365.527189344151</v>
      </c>
      <c r="Z247" s="359">
        <f t="shared" si="115"/>
        <v>48426</v>
      </c>
      <c r="AA247" s="334">
        <f t="shared" si="102"/>
        <v>235</v>
      </c>
      <c r="AB247" s="335">
        <f t="shared" si="103"/>
        <v>227.1751863850151</v>
      </c>
      <c r="AC247" s="335"/>
      <c r="AD247" s="335">
        <f t="shared" si="116"/>
        <v>95.80745765065427</v>
      </c>
      <c r="AE247" s="335">
        <f t="shared" si="122"/>
        <v>131.36772873436084</v>
      </c>
      <c r="AF247" s="360">
        <f t="shared" si="104"/>
        <v>11365.527189344151</v>
      </c>
      <c r="AH247" s="359">
        <f t="shared" si="117"/>
        <v>48426</v>
      </c>
      <c r="AI247" s="334">
        <f t="shared" si="105"/>
        <v>235</v>
      </c>
      <c r="AJ247" s="335">
        <f t="shared" si="106"/>
        <v>227.1751863850151</v>
      </c>
      <c r="AK247" s="335"/>
      <c r="AL247" s="335">
        <f t="shared" si="118"/>
        <v>95.80745765065427</v>
      </c>
      <c r="AM247" s="335">
        <f t="shared" si="123"/>
        <v>131.36772873436084</v>
      </c>
      <c r="AN247" s="360">
        <f t="shared" si="107"/>
        <v>11365.527189344151</v>
      </c>
    </row>
    <row r="248" spans="1:40" ht="12.75">
      <c r="A248" s="359">
        <f t="shared" si="108"/>
        <v>48457</v>
      </c>
      <c r="B248" s="334">
        <f t="shared" si="93"/>
        <v>236</v>
      </c>
      <c r="C248" s="335">
        <f t="shared" si="94"/>
        <v>227.1751863850151</v>
      </c>
      <c r="D248" s="335"/>
      <c r="E248" s="335">
        <f t="shared" si="109"/>
        <v>94.71272657786793</v>
      </c>
      <c r="F248" s="335">
        <f t="shared" si="119"/>
        <v>132.46245980714718</v>
      </c>
      <c r="G248" s="360">
        <f t="shared" si="95"/>
        <v>11233.064729537004</v>
      </c>
      <c r="H248" s="336" t="e">
        <f t="shared" si="110"/>
        <v>#VALUE!</v>
      </c>
      <c r="I248" s="333"/>
      <c r="J248" s="359">
        <f t="shared" si="111"/>
        <v>48457</v>
      </c>
      <c r="K248" s="334">
        <f t="shared" si="96"/>
        <v>236</v>
      </c>
      <c r="L248" s="335">
        <f t="shared" si="97"/>
        <v>227.1751863850151</v>
      </c>
      <c r="M248" s="335"/>
      <c r="N248" s="335">
        <f t="shared" si="112"/>
        <v>94.71272657786793</v>
      </c>
      <c r="O248" s="335">
        <f t="shared" si="120"/>
        <v>132.46245980714718</v>
      </c>
      <c r="P248" s="360">
        <f t="shared" si="98"/>
        <v>11233.064729537004</v>
      </c>
      <c r="R248" s="359">
        <f t="shared" si="113"/>
        <v>48457</v>
      </c>
      <c r="S248" s="334">
        <f t="shared" si="99"/>
        <v>236</v>
      </c>
      <c r="T248" s="335">
        <f t="shared" si="100"/>
        <v>227.1751863850151</v>
      </c>
      <c r="U248" s="335"/>
      <c r="V248" s="335">
        <f t="shared" si="114"/>
        <v>94.71272657786793</v>
      </c>
      <c r="W248" s="335">
        <f t="shared" si="121"/>
        <v>132.46245980714718</v>
      </c>
      <c r="X248" s="360">
        <f t="shared" si="101"/>
        <v>11233.064729537004</v>
      </c>
      <c r="Z248" s="359">
        <f t="shared" si="115"/>
        <v>48457</v>
      </c>
      <c r="AA248" s="334">
        <f t="shared" si="102"/>
        <v>236</v>
      </c>
      <c r="AB248" s="335">
        <f t="shared" si="103"/>
        <v>227.1751863850151</v>
      </c>
      <c r="AC248" s="335"/>
      <c r="AD248" s="335">
        <f t="shared" si="116"/>
        <v>94.71272657786793</v>
      </c>
      <c r="AE248" s="335">
        <f t="shared" si="122"/>
        <v>132.46245980714718</v>
      </c>
      <c r="AF248" s="360">
        <f t="shared" si="104"/>
        <v>11233.064729537004</v>
      </c>
      <c r="AH248" s="359">
        <f t="shared" si="117"/>
        <v>48457</v>
      </c>
      <c r="AI248" s="334">
        <f t="shared" si="105"/>
        <v>236</v>
      </c>
      <c r="AJ248" s="335">
        <f t="shared" si="106"/>
        <v>227.1751863850151</v>
      </c>
      <c r="AK248" s="335"/>
      <c r="AL248" s="335">
        <f t="shared" si="118"/>
        <v>94.71272657786793</v>
      </c>
      <c r="AM248" s="335">
        <f t="shared" si="123"/>
        <v>132.46245980714718</v>
      </c>
      <c r="AN248" s="360">
        <f t="shared" si="107"/>
        <v>11233.064729537004</v>
      </c>
    </row>
    <row r="249" spans="1:40" ht="12.75">
      <c r="A249" s="359">
        <f t="shared" si="108"/>
        <v>48487</v>
      </c>
      <c r="B249" s="334">
        <f t="shared" si="93"/>
        <v>237</v>
      </c>
      <c r="C249" s="335">
        <f t="shared" si="94"/>
        <v>227.1751863850151</v>
      </c>
      <c r="D249" s="335"/>
      <c r="E249" s="335">
        <f t="shared" si="109"/>
        <v>93.6088727461417</v>
      </c>
      <c r="F249" s="335">
        <f t="shared" si="119"/>
        <v>133.5663136388734</v>
      </c>
      <c r="G249" s="360">
        <f t="shared" si="95"/>
        <v>11099.49841589813</v>
      </c>
      <c r="H249" s="336" t="e">
        <f t="shared" si="110"/>
        <v>#VALUE!</v>
      </c>
      <c r="I249" s="333"/>
      <c r="J249" s="359">
        <f t="shared" si="111"/>
        <v>48487</v>
      </c>
      <c r="K249" s="334">
        <f t="shared" si="96"/>
        <v>237</v>
      </c>
      <c r="L249" s="335">
        <f t="shared" si="97"/>
        <v>227.1751863850151</v>
      </c>
      <c r="M249" s="335"/>
      <c r="N249" s="335">
        <f t="shared" si="112"/>
        <v>93.6088727461417</v>
      </c>
      <c r="O249" s="335">
        <f t="shared" si="120"/>
        <v>133.5663136388734</v>
      </c>
      <c r="P249" s="360">
        <f t="shared" si="98"/>
        <v>11099.49841589813</v>
      </c>
      <c r="R249" s="359">
        <f t="shared" si="113"/>
        <v>48487</v>
      </c>
      <c r="S249" s="334">
        <f t="shared" si="99"/>
        <v>237</v>
      </c>
      <c r="T249" s="335">
        <f t="shared" si="100"/>
        <v>227.1751863850151</v>
      </c>
      <c r="U249" s="335"/>
      <c r="V249" s="335">
        <f t="shared" si="114"/>
        <v>93.6088727461417</v>
      </c>
      <c r="W249" s="335">
        <f t="shared" si="121"/>
        <v>133.5663136388734</v>
      </c>
      <c r="X249" s="360">
        <f t="shared" si="101"/>
        <v>11099.49841589813</v>
      </c>
      <c r="Z249" s="359">
        <f t="shared" si="115"/>
        <v>48487</v>
      </c>
      <c r="AA249" s="334">
        <f t="shared" si="102"/>
        <v>237</v>
      </c>
      <c r="AB249" s="335">
        <f t="shared" si="103"/>
        <v>227.1751863850151</v>
      </c>
      <c r="AC249" s="335"/>
      <c r="AD249" s="335">
        <f t="shared" si="116"/>
        <v>93.6088727461417</v>
      </c>
      <c r="AE249" s="335">
        <f t="shared" si="122"/>
        <v>133.5663136388734</v>
      </c>
      <c r="AF249" s="360">
        <f t="shared" si="104"/>
        <v>11099.49841589813</v>
      </c>
      <c r="AH249" s="359">
        <f t="shared" si="117"/>
        <v>48487</v>
      </c>
      <c r="AI249" s="334">
        <f t="shared" si="105"/>
        <v>237</v>
      </c>
      <c r="AJ249" s="335">
        <f t="shared" si="106"/>
        <v>227.1751863850151</v>
      </c>
      <c r="AK249" s="335"/>
      <c r="AL249" s="335">
        <f t="shared" si="118"/>
        <v>93.6088727461417</v>
      </c>
      <c r="AM249" s="335">
        <f t="shared" si="123"/>
        <v>133.5663136388734</v>
      </c>
      <c r="AN249" s="360">
        <f t="shared" si="107"/>
        <v>11099.49841589813</v>
      </c>
    </row>
    <row r="250" spans="1:40" ht="12.75">
      <c r="A250" s="359">
        <f t="shared" si="108"/>
        <v>48518</v>
      </c>
      <c r="B250" s="334">
        <f t="shared" si="93"/>
        <v>238</v>
      </c>
      <c r="C250" s="335">
        <f t="shared" si="94"/>
        <v>227.1751863850151</v>
      </c>
      <c r="D250" s="335"/>
      <c r="E250" s="335">
        <f t="shared" si="109"/>
        <v>92.49582013248441</v>
      </c>
      <c r="F250" s="335">
        <f t="shared" si="119"/>
        <v>134.6793662525307</v>
      </c>
      <c r="G250" s="360">
        <f t="shared" si="95"/>
        <v>10964.819049645599</v>
      </c>
      <c r="H250" s="336" t="e">
        <f t="shared" si="110"/>
        <v>#VALUE!</v>
      </c>
      <c r="I250" s="333"/>
      <c r="J250" s="359">
        <f t="shared" si="111"/>
        <v>48518</v>
      </c>
      <c r="K250" s="334">
        <f t="shared" si="96"/>
        <v>238</v>
      </c>
      <c r="L250" s="335">
        <f t="shared" si="97"/>
        <v>227.1751863850151</v>
      </c>
      <c r="M250" s="335"/>
      <c r="N250" s="335">
        <f t="shared" si="112"/>
        <v>92.49582013248441</v>
      </c>
      <c r="O250" s="335">
        <f t="shared" si="120"/>
        <v>134.6793662525307</v>
      </c>
      <c r="P250" s="360">
        <f t="shared" si="98"/>
        <v>10964.819049645599</v>
      </c>
      <c r="R250" s="359">
        <f t="shared" si="113"/>
        <v>48518</v>
      </c>
      <c r="S250" s="334">
        <f t="shared" si="99"/>
        <v>238</v>
      </c>
      <c r="T250" s="335">
        <f t="shared" si="100"/>
        <v>227.1751863850151</v>
      </c>
      <c r="U250" s="335"/>
      <c r="V250" s="335">
        <f t="shared" si="114"/>
        <v>92.49582013248441</v>
      </c>
      <c r="W250" s="335">
        <f t="shared" si="121"/>
        <v>134.6793662525307</v>
      </c>
      <c r="X250" s="360">
        <f t="shared" si="101"/>
        <v>10964.819049645599</v>
      </c>
      <c r="Z250" s="359">
        <f t="shared" si="115"/>
        <v>48518</v>
      </c>
      <c r="AA250" s="334">
        <f t="shared" si="102"/>
        <v>238</v>
      </c>
      <c r="AB250" s="335">
        <f t="shared" si="103"/>
        <v>227.1751863850151</v>
      </c>
      <c r="AC250" s="335"/>
      <c r="AD250" s="335">
        <f t="shared" si="116"/>
        <v>92.49582013248441</v>
      </c>
      <c r="AE250" s="335">
        <f t="shared" si="122"/>
        <v>134.6793662525307</v>
      </c>
      <c r="AF250" s="360">
        <f t="shared" si="104"/>
        <v>10964.819049645599</v>
      </c>
      <c r="AH250" s="359">
        <f t="shared" si="117"/>
        <v>48518</v>
      </c>
      <c r="AI250" s="334">
        <f t="shared" si="105"/>
        <v>238</v>
      </c>
      <c r="AJ250" s="335">
        <f t="shared" si="106"/>
        <v>227.1751863850151</v>
      </c>
      <c r="AK250" s="335"/>
      <c r="AL250" s="335">
        <f t="shared" si="118"/>
        <v>92.49582013248441</v>
      </c>
      <c r="AM250" s="335">
        <f t="shared" si="123"/>
        <v>134.6793662525307</v>
      </c>
      <c r="AN250" s="360">
        <f t="shared" si="107"/>
        <v>10964.819049645599</v>
      </c>
    </row>
    <row r="251" spans="1:40" ht="12.75">
      <c r="A251" s="359">
        <f t="shared" si="108"/>
        <v>48548</v>
      </c>
      <c r="B251" s="334">
        <f t="shared" si="93"/>
        <v>239</v>
      </c>
      <c r="C251" s="335">
        <f t="shared" si="94"/>
        <v>227.1751863850151</v>
      </c>
      <c r="D251" s="335"/>
      <c r="E251" s="335">
        <f t="shared" si="109"/>
        <v>91.37349208037999</v>
      </c>
      <c r="F251" s="335">
        <f t="shared" si="119"/>
        <v>135.80169430463513</v>
      </c>
      <c r="G251" s="360">
        <f t="shared" si="95"/>
        <v>10829.017355340964</v>
      </c>
      <c r="H251" s="336" t="e">
        <f t="shared" si="110"/>
        <v>#VALUE!</v>
      </c>
      <c r="I251" s="333"/>
      <c r="J251" s="359">
        <f t="shared" si="111"/>
        <v>48548</v>
      </c>
      <c r="K251" s="334">
        <f t="shared" si="96"/>
        <v>239</v>
      </c>
      <c r="L251" s="335">
        <f t="shared" si="97"/>
        <v>227.1751863850151</v>
      </c>
      <c r="M251" s="335"/>
      <c r="N251" s="335">
        <f t="shared" si="112"/>
        <v>91.37349208037999</v>
      </c>
      <c r="O251" s="335">
        <f t="shared" si="120"/>
        <v>135.80169430463513</v>
      </c>
      <c r="P251" s="360">
        <f t="shared" si="98"/>
        <v>10829.017355340964</v>
      </c>
      <c r="R251" s="359">
        <f t="shared" si="113"/>
        <v>48548</v>
      </c>
      <c r="S251" s="334">
        <f t="shared" si="99"/>
        <v>239</v>
      </c>
      <c r="T251" s="335">
        <f t="shared" si="100"/>
        <v>227.1751863850151</v>
      </c>
      <c r="U251" s="335"/>
      <c r="V251" s="335">
        <f t="shared" si="114"/>
        <v>91.37349208037999</v>
      </c>
      <c r="W251" s="335">
        <f t="shared" si="121"/>
        <v>135.80169430463513</v>
      </c>
      <c r="X251" s="360">
        <f t="shared" si="101"/>
        <v>10829.017355340964</v>
      </c>
      <c r="Z251" s="359">
        <f t="shared" si="115"/>
        <v>48548</v>
      </c>
      <c r="AA251" s="334">
        <f t="shared" si="102"/>
        <v>239</v>
      </c>
      <c r="AB251" s="335">
        <f t="shared" si="103"/>
        <v>227.1751863850151</v>
      </c>
      <c r="AC251" s="335"/>
      <c r="AD251" s="335">
        <f t="shared" si="116"/>
        <v>91.37349208037999</v>
      </c>
      <c r="AE251" s="335">
        <f t="shared" si="122"/>
        <v>135.80169430463513</v>
      </c>
      <c r="AF251" s="360">
        <f t="shared" si="104"/>
        <v>10829.017355340964</v>
      </c>
      <c r="AH251" s="359">
        <f t="shared" si="117"/>
        <v>48548</v>
      </c>
      <c r="AI251" s="334">
        <f t="shared" si="105"/>
        <v>239</v>
      </c>
      <c r="AJ251" s="335">
        <f t="shared" si="106"/>
        <v>227.1751863850151</v>
      </c>
      <c r="AK251" s="335"/>
      <c r="AL251" s="335">
        <f t="shared" si="118"/>
        <v>91.37349208037999</v>
      </c>
      <c r="AM251" s="335">
        <f t="shared" si="123"/>
        <v>135.80169430463513</v>
      </c>
      <c r="AN251" s="360">
        <f t="shared" si="107"/>
        <v>10829.017355340964</v>
      </c>
    </row>
    <row r="252" spans="1:40" ht="12.75">
      <c r="A252" s="359">
        <f t="shared" si="108"/>
        <v>48579</v>
      </c>
      <c r="B252" s="334">
        <f t="shared" si="93"/>
        <v>240</v>
      </c>
      <c r="C252" s="335">
        <f t="shared" si="94"/>
        <v>227.1751863850151</v>
      </c>
      <c r="D252" s="335"/>
      <c r="E252" s="335">
        <f t="shared" si="109"/>
        <v>90.24181129450804</v>
      </c>
      <c r="F252" s="335">
        <f t="shared" si="119"/>
        <v>136.93337509050707</v>
      </c>
      <c r="G252" s="360">
        <f t="shared" si="95"/>
        <v>10692.083980250456</v>
      </c>
      <c r="H252" s="336" t="e">
        <f t="shared" si="110"/>
        <v>#VALUE!</v>
      </c>
      <c r="I252" s="333"/>
      <c r="J252" s="359">
        <f t="shared" si="111"/>
        <v>48579</v>
      </c>
      <c r="K252" s="334">
        <f t="shared" si="96"/>
        <v>240</v>
      </c>
      <c r="L252" s="335">
        <f t="shared" si="97"/>
        <v>227.1751863850151</v>
      </c>
      <c r="M252" s="335"/>
      <c r="N252" s="335">
        <f t="shared" si="112"/>
        <v>90.24181129450804</v>
      </c>
      <c r="O252" s="335">
        <f t="shared" si="120"/>
        <v>136.93337509050707</v>
      </c>
      <c r="P252" s="360">
        <f t="shared" si="98"/>
        <v>10692.083980250456</v>
      </c>
      <c r="R252" s="359">
        <f t="shared" si="113"/>
        <v>48579</v>
      </c>
      <c r="S252" s="334">
        <f t="shared" si="99"/>
        <v>240</v>
      </c>
      <c r="T252" s="335">
        <f t="shared" si="100"/>
        <v>227.1751863850151</v>
      </c>
      <c r="U252" s="335"/>
      <c r="V252" s="335">
        <f t="shared" si="114"/>
        <v>90.24181129450804</v>
      </c>
      <c r="W252" s="335">
        <f t="shared" si="121"/>
        <v>136.93337509050707</v>
      </c>
      <c r="X252" s="360">
        <f t="shared" si="101"/>
        <v>10692.083980250456</v>
      </c>
      <c r="Z252" s="359">
        <f t="shared" si="115"/>
        <v>48579</v>
      </c>
      <c r="AA252" s="334">
        <f t="shared" si="102"/>
        <v>240</v>
      </c>
      <c r="AB252" s="335">
        <f t="shared" si="103"/>
        <v>227.1751863850151</v>
      </c>
      <c r="AC252" s="335"/>
      <c r="AD252" s="335">
        <f t="shared" si="116"/>
        <v>90.24181129450804</v>
      </c>
      <c r="AE252" s="335">
        <f t="shared" si="122"/>
        <v>136.93337509050707</v>
      </c>
      <c r="AF252" s="360">
        <f t="shared" si="104"/>
        <v>10692.083980250456</v>
      </c>
      <c r="AH252" s="359">
        <f t="shared" si="117"/>
        <v>48579</v>
      </c>
      <c r="AI252" s="334">
        <f t="shared" si="105"/>
        <v>240</v>
      </c>
      <c r="AJ252" s="335">
        <f t="shared" si="106"/>
        <v>227.1751863850151</v>
      </c>
      <c r="AK252" s="335"/>
      <c r="AL252" s="335">
        <f t="shared" si="118"/>
        <v>90.24181129450804</v>
      </c>
      <c r="AM252" s="335">
        <f t="shared" si="123"/>
        <v>136.93337509050707</v>
      </c>
      <c r="AN252" s="360">
        <f t="shared" si="107"/>
        <v>10692.083980250456</v>
      </c>
    </row>
    <row r="253" spans="1:40" ht="12.75">
      <c r="A253" s="359">
        <f t="shared" si="108"/>
        <v>48610</v>
      </c>
      <c r="B253" s="334">
        <f t="shared" si="93"/>
        <v>241</v>
      </c>
      <c r="C253" s="335">
        <f t="shared" si="94"/>
        <v>227.1751863850151</v>
      </c>
      <c r="D253" s="335"/>
      <c r="E253" s="335">
        <f t="shared" si="109"/>
        <v>89.10069983542047</v>
      </c>
      <c r="F253" s="335">
        <f t="shared" si="119"/>
        <v>138.07448654959464</v>
      </c>
      <c r="G253" s="360">
        <f t="shared" si="95"/>
        <v>10554.009493700862</v>
      </c>
      <c r="H253" s="336" t="e">
        <f t="shared" si="110"/>
        <v>#VALUE!</v>
      </c>
      <c r="I253" s="333"/>
      <c r="J253" s="359">
        <f t="shared" si="111"/>
        <v>48610</v>
      </c>
      <c r="K253" s="334">
        <f t="shared" si="96"/>
        <v>241</v>
      </c>
      <c r="L253" s="335">
        <f t="shared" si="97"/>
        <v>227.1751863850151</v>
      </c>
      <c r="M253" s="335"/>
      <c r="N253" s="335">
        <f t="shared" si="112"/>
        <v>89.10069983542047</v>
      </c>
      <c r="O253" s="335">
        <f t="shared" si="120"/>
        <v>138.07448654959464</v>
      </c>
      <c r="P253" s="360">
        <f t="shared" si="98"/>
        <v>10554.009493700862</v>
      </c>
      <c r="R253" s="359">
        <f t="shared" si="113"/>
        <v>48610</v>
      </c>
      <c r="S253" s="334">
        <f t="shared" si="99"/>
        <v>241</v>
      </c>
      <c r="T253" s="335">
        <f t="shared" si="100"/>
        <v>227.1751863850151</v>
      </c>
      <c r="U253" s="335"/>
      <c r="V253" s="335">
        <f t="shared" si="114"/>
        <v>89.10069983542047</v>
      </c>
      <c r="W253" s="335">
        <f t="shared" si="121"/>
        <v>138.07448654959464</v>
      </c>
      <c r="X253" s="360">
        <f t="shared" si="101"/>
        <v>10554.009493700862</v>
      </c>
      <c r="Z253" s="359">
        <f t="shared" si="115"/>
        <v>48610</v>
      </c>
      <c r="AA253" s="334">
        <f t="shared" si="102"/>
        <v>241</v>
      </c>
      <c r="AB253" s="335">
        <f t="shared" si="103"/>
        <v>227.1751863850151</v>
      </c>
      <c r="AC253" s="335"/>
      <c r="AD253" s="335">
        <f t="shared" si="116"/>
        <v>89.10069983542047</v>
      </c>
      <c r="AE253" s="335">
        <f t="shared" si="122"/>
        <v>138.07448654959464</v>
      </c>
      <c r="AF253" s="360">
        <f t="shared" si="104"/>
        <v>10554.009493700862</v>
      </c>
      <c r="AH253" s="359">
        <f t="shared" si="117"/>
        <v>48610</v>
      </c>
      <c r="AI253" s="334">
        <f t="shared" si="105"/>
        <v>241</v>
      </c>
      <c r="AJ253" s="335">
        <f t="shared" si="106"/>
        <v>227.1751863850151</v>
      </c>
      <c r="AK253" s="335"/>
      <c r="AL253" s="335">
        <f t="shared" si="118"/>
        <v>89.10069983542047</v>
      </c>
      <c r="AM253" s="335">
        <f t="shared" si="123"/>
        <v>138.07448654959464</v>
      </c>
      <c r="AN253" s="360">
        <f t="shared" si="107"/>
        <v>10554.009493700862</v>
      </c>
    </row>
    <row r="254" spans="1:40" ht="12.75">
      <c r="A254" s="359">
        <f t="shared" si="108"/>
        <v>48638</v>
      </c>
      <c r="B254" s="334">
        <f t="shared" si="93"/>
        <v>242</v>
      </c>
      <c r="C254" s="335">
        <f t="shared" si="94"/>
        <v>227.1751863850151</v>
      </c>
      <c r="D254" s="335"/>
      <c r="E254" s="335">
        <f t="shared" si="109"/>
        <v>87.95007911417385</v>
      </c>
      <c r="F254" s="335">
        <f t="shared" si="119"/>
        <v>139.22510727084125</v>
      </c>
      <c r="G254" s="360">
        <f t="shared" si="95"/>
        <v>10414.784386430021</v>
      </c>
      <c r="H254" s="336" t="e">
        <f t="shared" si="110"/>
        <v>#VALUE!</v>
      </c>
      <c r="I254" s="333"/>
      <c r="J254" s="359">
        <f t="shared" si="111"/>
        <v>48638</v>
      </c>
      <c r="K254" s="334">
        <f t="shared" si="96"/>
        <v>242</v>
      </c>
      <c r="L254" s="335">
        <f t="shared" si="97"/>
        <v>227.1751863850151</v>
      </c>
      <c r="M254" s="335"/>
      <c r="N254" s="335">
        <f t="shared" si="112"/>
        <v>87.95007911417385</v>
      </c>
      <c r="O254" s="335">
        <f t="shared" si="120"/>
        <v>139.22510727084125</v>
      </c>
      <c r="P254" s="360">
        <f t="shared" si="98"/>
        <v>10414.784386430021</v>
      </c>
      <c r="R254" s="359">
        <f t="shared" si="113"/>
        <v>48638</v>
      </c>
      <c r="S254" s="334">
        <f t="shared" si="99"/>
        <v>242</v>
      </c>
      <c r="T254" s="335">
        <f t="shared" si="100"/>
        <v>227.1751863850151</v>
      </c>
      <c r="U254" s="335"/>
      <c r="V254" s="335">
        <f t="shared" si="114"/>
        <v>87.95007911417385</v>
      </c>
      <c r="W254" s="335">
        <f t="shared" si="121"/>
        <v>139.22510727084125</v>
      </c>
      <c r="X254" s="360">
        <f t="shared" si="101"/>
        <v>10414.784386430021</v>
      </c>
      <c r="Z254" s="359">
        <f t="shared" si="115"/>
        <v>48638</v>
      </c>
      <c r="AA254" s="334">
        <f t="shared" si="102"/>
        <v>242</v>
      </c>
      <c r="AB254" s="335">
        <f t="shared" si="103"/>
        <v>227.1751863850151</v>
      </c>
      <c r="AC254" s="335"/>
      <c r="AD254" s="335">
        <f t="shared" si="116"/>
        <v>87.95007911417385</v>
      </c>
      <c r="AE254" s="335">
        <f t="shared" si="122"/>
        <v>139.22510727084125</v>
      </c>
      <c r="AF254" s="360">
        <f t="shared" si="104"/>
        <v>10414.784386430021</v>
      </c>
      <c r="AH254" s="359">
        <f t="shared" si="117"/>
        <v>48638</v>
      </c>
      <c r="AI254" s="334">
        <f t="shared" si="105"/>
        <v>242</v>
      </c>
      <c r="AJ254" s="335">
        <f t="shared" si="106"/>
        <v>227.1751863850151</v>
      </c>
      <c r="AK254" s="335"/>
      <c r="AL254" s="335">
        <f t="shared" si="118"/>
        <v>87.95007911417385</v>
      </c>
      <c r="AM254" s="335">
        <f t="shared" si="123"/>
        <v>139.22510727084125</v>
      </c>
      <c r="AN254" s="360">
        <f t="shared" si="107"/>
        <v>10414.784386430021</v>
      </c>
    </row>
    <row r="255" spans="1:40" ht="12.75">
      <c r="A255" s="359">
        <f t="shared" si="108"/>
        <v>48669</v>
      </c>
      <c r="B255" s="334">
        <f aca="true" t="shared" si="124" ref="B255:B318">B254+1</f>
        <v>243</v>
      </c>
      <c r="C255" s="335">
        <f aca="true" t="shared" si="125" ref="C255:C318">IF(G254&gt;0.5,C254,"")</f>
        <v>227.1751863850151</v>
      </c>
      <c r="D255" s="335"/>
      <c r="E255" s="335">
        <f t="shared" si="109"/>
        <v>86.78986988691685</v>
      </c>
      <c r="F255" s="335">
        <f t="shared" si="119"/>
        <v>140.38531649809826</v>
      </c>
      <c r="G255" s="360">
        <f aca="true" t="shared" si="126" ref="G255:G318">IF(G254&gt;0.5,G254-F255,0)</f>
        <v>10274.399069931924</v>
      </c>
      <c r="H255" s="336" t="e">
        <f t="shared" si="110"/>
        <v>#VALUE!</v>
      </c>
      <c r="I255" s="333"/>
      <c r="J255" s="359">
        <f t="shared" si="111"/>
        <v>48669</v>
      </c>
      <c r="K255" s="334">
        <f aca="true" t="shared" si="127" ref="K255:K318">K254+1</f>
        <v>243</v>
      </c>
      <c r="L255" s="335">
        <f aca="true" t="shared" si="128" ref="L255:L318">IF(P254&gt;0.5,L254,"")</f>
        <v>227.1751863850151</v>
      </c>
      <c r="M255" s="335"/>
      <c r="N255" s="335">
        <f t="shared" si="112"/>
        <v>86.78986988691685</v>
      </c>
      <c r="O255" s="335">
        <f t="shared" si="120"/>
        <v>140.38531649809826</v>
      </c>
      <c r="P255" s="360">
        <f aca="true" t="shared" si="129" ref="P255:P318">IF(P254&gt;0.5,P254-O255,0)</f>
        <v>10274.399069931924</v>
      </c>
      <c r="R255" s="359">
        <f t="shared" si="113"/>
        <v>48669</v>
      </c>
      <c r="S255" s="334">
        <f aca="true" t="shared" si="130" ref="S255:S318">S254+1</f>
        <v>243</v>
      </c>
      <c r="T255" s="335">
        <f aca="true" t="shared" si="131" ref="T255:T318">IF(X254&gt;0.5,T254,"")</f>
        <v>227.1751863850151</v>
      </c>
      <c r="U255" s="335"/>
      <c r="V255" s="335">
        <f t="shared" si="114"/>
        <v>86.78986988691685</v>
      </c>
      <c r="W255" s="335">
        <f t="shared" si="121"/>
        <v>140.38531649809826</v>
      </c>
      <c r="X255" s="360">
        <f aca="true" t="shared" si="132" ref="X255:X318">IF(X254&gt;0.5,X254-W255,0)</f>
        <v>10274.399069931924</v>
      </c>
      <c r="Z255" s="359">
        <f t="shared" si="115"/>
        <v>48669</v>
      </c>
      <c r="AA255" s="334">
        <f aca="true" t="shared" si="133" ref="AA255:AA318">AA254+1</f>
        <v>243</v>
      </c>
      <c r="AB255" s="335">
        <f aca="true" t="shared" si="134" ref="AB255:AB318">IF(AF254&gt;0.5,AB254,"")</f>
        <v>227.1751863850151</v>
      </c>
      <c r="AC255" s="335"/>
      <c r="AD255" s="335">
        <f t="shared" si="116"/>
        <v>86.78986988691685</v>
      </c>
      <c r="AE255" s="335">
        <f t="shared" si="122"/>
        <v>140.38531649809826</v>
      </c>
      <c r="AF255" s="360">
        <f aca="true" t="shared" si="135" ref="AF255:AF318">IF(AF254&gt;0.5,AF254-AE255,0)</f>
        <v>10274.399069931924</v>
      </c>
      <c r="AH255" s="359">
        <f t="shared" si="117"/>
        <v>48669</v>
      </c>
      <c r="AI255" s="334">
        <f aca="true" t="shared" si="136" ref="AI255:AI318">AI254+1</f>
        <v>243</v>
      </c>
      <c r="AJ255" s="335">
        <f aca="true" t="shared" si="137" ref="AJ255:AJ318">IF(AN254&gt;0.5,AJ254,"")</f>
        <v>227.1751863850151</v>
      </c>
      <c r="AK255" s="335"/>
      <c r="AL255" s="335">
        <f t="shared" si="118"/>
        <v>86.78986988691685</v>
      </c>
      <c r="AM255" s="335">
        <f t="shared" si="123"/>
        <v>140.38531649809826</v>
      </c>
      <c r="AN255" s="360">
        <f aca="true" t="shared" si="138" ref="AN255:AN318">IF(AN254&gt;0.5,AN254-AM255,0)</f>
        <v>10274.399069931924</v>
      </c>
    </row>
    <row r="256" spans="1:40" ht="12.75">
      <c r="A256" s="359">
        <f t="shared" si="108"/>
        <v>48699</v>
      </c>
      <c r="B256" s="334">
        <f t="shared" si="124"/>
        <v>244</v>
      </c>
      <c r="C256" s="335">
        <f t="shared" si="125"/>
        <v>227.1751863850151</v>
      </c>
      <c r="D256" s="335"/>
      <c r="E256" s="335">
        <f t="shared" si="109"/>
        <v>85.6199922494327</v>
      </c>
      <c r="F256" s="335">
        <f t="shared" si="119"/>
        <v>141.5551941355824</v>
      </c>
      <c r="G256" s="360">
        <f t="shared" si="126"/>
        <v>10132.843875796341</v>
      </c>
      <c r="H256" s="336" t="e">
        <f t="shared" si="110"/>
        <v>#VALUE!</v>
      </c>
      <c r="I256" s="333"/>
      <c r="J256" s="359">
        <f t="shared" si="111"/>
        <v>48699</v>
      </c>
      <c r="K256" s="334">
        <f t="shared" si="127"/>
        <v>244</v>
      </c>
      <c r="L256" s="335">
        <f t="shared" si="128"/>
        <v>227.1751863850151</v>
      </c>
      <c r="M256" s="335"/>
      <c r="N256" s="335">
        <f t="shared" si="112"/>
        <v>85.6199922494327</v>
      </c>
      <c r="O256" s="335">
        <f t="shared" si="120"/>
        <v>141.5551941355824</v>
      </c>
      <c r="P256" s="360">
        <f t="shared" si="129"/>
        <v>10132.843875796341</v>
      </c>
      <c r="R256" s="359">
        <f t="shared" si="113"/>
        <v>48699</v>
      </c>
      <c r="S256" s="334">
        <f t="shared" si="130"/>
        <v>244</v>
      </c>
      <c r="T256" s="335">
        <f t="shared" si="131"/>
        <v>227.1751863850151</v>
      </c>
      <c r="U256" s="335"/>
      <c r="V256" s="335">
        <f t="shared" si="114"/>
        <v>85.6199922494327</v>
      </c>
      <c r="W256" s="335">
        <f t="shared" si="121"/>
        <v>141.5551941355824</v>
      </c>
      <c r="X256" s="360">
        <f t="shared" si="132"/>
        <v>10132.843875796341</v>
      </c>
      <c r="Z256" s="359">
        <f t="shared" si="115"/>
        <v>48699</v>
      </c>
      <c r="AA256" s="334">
        <f t="shared" si="133"/>
        <v>244</v>
      </c>
      <c r="AB256" s="335">
        <f t="shared" si="134"/>
        <v>227.1751863850151</v>
      </c>
      <c r="AC256" s="335"/>
      <c r="AD256" s="335">
        <f t="shared" si="116"/>
        <v>85.6199922494327</v>
      </c>
      <c r="AE256" s="335">
        <f t="shared" si="122"/>
        <v>141.5551941355824</v>
      </c>
      <c r="AF256" s="360">
        <f t="shared" si="135"/>
        <v>10132.843875796341</v>
      </c>
      <c r="AH256" s="359">
        <f t="shared" si="117"/>
        <v>48699</v>
      </c>
      <c r="AI256" s="334">
        <f t="shared" si="136"/>
        <v>244</v>
      </c>
      <c r="AJ256" s="335">
        <f t="shared" si="137"/>
        <v>227.1751863850151</v>
      </c>
      <c r="AK256" s="335"/>
      <c r="AL256" s="335">
        <f t="shared" si="118"/>
        <v>85.6199922494327</v>
      </c>
      <c r="AM256" s="335">
        <f t="shared" si="123"/>
        <v>141.5551941355824</v>
      </c>
      <c r="AN256" s="360">
        <f t="shared" si="138"/>
        <v>10132.843875796341</v>
      </c>
    </row>
    <row r="257" spans="1:40" ht="12.75">
      <c r="A257" s="359">
        <f t="shared" si="108"/>
        <v>48730</v>
      </c>
      <c r="B257" s="334">
        <f t="shared" si="124"/>
        <v>245</v>
      </c>
      <c r="C257" s="335">
        <f t="shared" si="125"/>
        <v>227.1751863850151</v>
      </c>
      <c r="D257" s="335"/>
      <c r="E257" s="335">
        <f t="shared" si="109"/>
        <v>84.44036563163618</v>
      </c>
      <c r="F257" s="335">
        <f t="shared" si="119"/>
        <v>142.73482075337893</v>
      </c>
      <c r="G257" s="360">
        <f t="shared" si="126"/>
        <v>9990.109055042962</v>
      </c>
      <c r="H257" s="336" t="e">
        <f t="shared" si="110"/>
        <v>#VALUE!</v>
      </c>
      <c r="I257" s="333"/>
      <c r="J257" s="359">
        <f t="shared" si="111"/>
        <v>48730</v>
      </c>
      <c r="K257" s="334">
        <f t="shared" si="127"/>
        <v>245</v>
      </c>
      <c r="L257" s="335">
        <f t="shared" si="128"/>
        <v>227.1751863850151</v>
      </c>
      <c r="M257" s="335"/>
      <c r="N257" s="335">
        <f t="shared" si="112"/>
        <v>84.44036563163618</v>
      </c>
      <c r="O257" s="335">
        <f t="shared" si="120"/>
        <v>142.73482075337893</v>
      </c>
      <c r="P257" s="360">
        <f t="shared" si="129"/>
        <v>9990.109055042962</v>
      </c>
      <c r="R257" s="359">
        <f t="shared" si="113"/>
        <v>48730</v>
      </c>
      <c r="S257" s="334">
        <f t="shared" si="130"/>
        <v>245</v>
      </c>
      <c r="T257" s="335">
        <f t="shared" si="131"/>
        <v>227.1751863850151</v>
      </c>
      <c r="U257" s="335"/>
      <c r="V257" s="335">
        <f t="shared" si="114"/>
        <v>84.44036563163618</v>
      </c>
      <c r="W257" s="335">
        <f t="shared" si="121"/>
        <v>142.73482075337893</v>
      </c>
      <c r="X257" s="360">
        <f t="shared" si="132"/>
        <v>9990.109055042962</v>
      </c>
      <c r="Z257" s="359">
        <f t="shared" si="115"/>
        <v>48730</v>
      </c>
      <c r="AA257" s="334">
        <f t="shared" si="133"/>
        <v>245</v>
      </c>
      <c r="AB257" s="335">
        <f t="shared" si="134"/>
        <v>227.1751863850151</v>
      </c>
      <c r="AC257" s="335"/>
      <c r="AD257" s="335">
        <f t="shared" si="116"/>
        <v>84.44036563163618</v>
      </c>
      <c r="AE257" s="335">
        <f t="shared" si="122"/>
        <v>142.73482075337893</v>
      </c>
      <c r="AF257" s="360">
        <f t="shared" si="135"/>
        <v>9990.109055042962</v>
      </c>
      <c r="AH257" s="359">
        <f t="shared" si="117"/>
        <v>48730</v>
      </c>
      <c r="AI257" s="334">
        <f t="shared" si="136"/>
        <v>245</v>
      </c>
      <c r="AJ257" s="335">
        <f t="shared" si="137"/>
        <v>227.1751863850151</v>
      </c>
      <c r="AK257" s="335"/>
      <c r="AL257" s="335">
        <f t="shared" si="118"/>
        <v>84.44036563163618</v>
      </c>
      <c r="AM257" s="335">
        <f t="shared" si="123"/>
        <v>142.73482075337893</v>
      </c>
      <c r="AN257" s="360">
        <f t="shared" si="138"/>
        <v>9990.109055042962</v>
      </c>
    </row>
    <row r="258" spans="1:40" ht="12.75">
      <c r="A258" s="359">
        <f t="shared" si="108"/>
        <v>48760</v>
      </c>
      <c r="B258" s="334">
        <f t="shared" si="124"/>
        <v>246</v>
      </c>
      <c r="C258" s="335">
        <f t="shared" si="125"/>
        <v>227.1751863850151</v>
      </c>
      <c r="D258" s="335"/>
      <c r="E258" s="335">
        <f t="shared" si="109"/>
        <v>83.25090879202467</v>
      </c>
      <c r="F258" s="335">
        <f t="shared" si="119"/>
        <v>143.92427759299045</v>
      </c>
      <c r="G258" s="360">
        <f t="shared" si="126"/>
        <v>9846.184777449971</v>
      </c>
      <c r="H258" s="336" t="e">
        <f t="shared" si="110"/>
        <v>#VALUE!</v>
      </c>
      <c r="I258" s="333"/>
      <c r="J258" s="359">
        <f t="shared" si="111"/>
        <v>48760</v>
      </c>
      <c r="K258" s="334">
        <f t="shared" si="127"/>
        <v>246</v>
      </c>
      <c r="L258" s="335">
        <f t="shared" si="128"/>
        <v>227.1751863850151</v>
      </c>
      <c r="M258" s="335"/>
      <c r="N258" s="335">
        <f t="shared" si="112"/>
        <v>83.25090879202467</v>
      </c>
      <c r="O258" s="335">
        <f t="shared" si="120"/>
        <v>143.92427759299045</v>
      </c>
      <c r="P258" s="360">
        <f t="shared" si="129"/>
        <v>9846.184777449971</v>
      </c>
      <c r="R258" s="359">
        <f t="shared" si="113"/>
        <v>48760</v>
      </c>
      <c r="S258" s="334">
        <f t="shared" si="130"/>
        <v>246</v>
      </c>
      <c r="T258" s="335">
        <f t="shared" si="131"/>
        <v>227.1751863850151</v>
      </c>
      <c r="U258" s="335"/>
      <c r="V258" s="335">
        <f t="shared" si="114"/>
        <v>83.25090879202467</v>
      </c>
      <c r="W258" s="335">
        <f t="shared" si="121"/>
        <v>143.92427759299045</v>
      </c>
      <c r="X258" s="360">
        <f t="shared" si="132"/>
        <v>9846.184777449971</v>
      </c>
      <c r="Z258" s="359">
        <f t="shared" si="115"/>
        <v>48760</v>
      </c>
      <c r="AA258" s="334">
        <f t="shared" si="133"/>
        <v>246</v>
      </c>
      <c r="AB258" s="335">
        <f t="shared" si="134"/>
        <v>227.1751863850151</v>
      </c>
      <c r="AC258" s="335"/>
      <c r="AD258" s="335">
        <f t="shared" si="116"/>
        <v>83.25090879202467</v>
      </c>
      <c r="AE258" s="335">
        <f t="shared" si="122"/>
        <v>143.92427759299045</v>
      </c>
      <c r="AF258" s="360">
        <f t="shared" si="135"/>
        <v>9846.184777449971</v>
      </c>
      <c r="AH258" s="359">
        <f t="shared" si="117"/>
        <v>48760</v>
      </c>
      <c r="AI258" s="334">
        <f t="shared" si="136"/>
        <v>246</v>
      </c>
      <c r="AJ258" s="335">
        <f t="shared" si="137"/>
        <v>227.1751863850151</v>
      </c>
      <c r="AK258" s="335"/>
      <c r="AL258" s="335">
        <f t="shared" si="118"/>
        <v>83.25090879202467</v>
      </c>
      <c r="AM258" s="335">
        <f t="shared" si="123"/>
        <v>143.92427759299045</v>
      </c>
      <c r="AN258" s="360">
        <f t="shared" si="138"/>
        <v>9846.184777449971</v>
      </c>
    </row>
    <row r="259" spans="1:40" ht="12.75">
      <c r="A259" s="359">
        <f t="shared" si="108"/>
        <v>48791</v>
      </c>
      <c r="B259" s="334">
        <f t="shared" si="124"/>
        <v>247</v>
      </c>
      <c r="C259" s="335">
        <f t="shared" si="125"/>
        <v>227.1751863850151</v>
      </c>
      <c r="D259" s="335"/>
      <c r="E259" s="335">
        <f t="shared" si="109"/>
        <v>82.05153981208309</v>
      </c>
      <c r="F259" s="335">
        <f t="shared" si="119"/>
        <v>145.12364657293202</v>
      </c>
      <c r="G259" s="360">
        <f t="shared" si="126"/>
        <v>9701.061130877039</v>
      </c>
      <c r="H259" s="336" t="e">
        <f t="shared" si="110"/>
        <v>#VALUE!</v>
      </c>
      <c r="I259" s="333"/>
      <c r="J259" s="359">
        <f t="shared" si="111"/>
        <v>48791</v>
      </c>
      <c r="K259" s="334">
        <f t="shared" si="127"/>
        <v>247</v>
      </c>
      <c r="L259" s="335">
        <f t="shared" si="128"/>
        <v>227.1751863850151</v>
      </c>
      <c r="M259" s="335"/>
      <c r="N259" s="335">
        <f t="shared" si="112"/>
        <v>82.05153981208309</v>
      </c>
      <c r="O259" s="335">
        <f t="shared" si="120"/>
        <v>145.12364657293202</v>
      </c>
      <c r="P259" s="360">
        <f t="shared" si="129"/>
        <v>9701.061130877039</v>
      </c>
      <c r="R259" s="359">
        <f t="shared" si="113"/>
        <v>48791</v>
      </c>
      <c r="S259" s="334">
        <f t="shared" si="130"/>
        <v>247</v>
      </c>
      <c r="T259" s="335">
        <f t="shared" si="131"/>
        <v>227.1751863850151</v>
      </c>
      <c r="U259" s="335"/>
      <c r="V259" s="335">
        <f t="shared" si="114"/>
        <v>82.05153981208309</v>
      </c>
      <c r="W259" s="335">
        <f t="shared" si="121"/>
        <v>145.12364657293202</v>
      </c>
      <c r="X259" s="360">
        <f t="shared" si="132"/>
        <v>9701.061130877039</v>
      </c>
      <c r="Z259" s="359">
        <f t="shared" si="115"/>
        <v>48791</v>
      </c>
      <c r="AA259" s="334">
        <f t="shared" si="133"/>
        <v>247</v>
      </c>
      <c r="AB259" s="335">
        <f t="shared" si="134"/>
        <v>227.1751863850151</v>
      </c>
      <c r="AC259" s="335"/>
      <c r="AD259" s="335">
        <f t="shared" si="116"/>
        <v>82.05153981208309</v>
      </c>
      <c r="AE259" s="335">
        <f t="shared" si="122"/>
        <v>145.12364657293202</v>
      </c>
      <c r="AF259" s="360">
        <f t="shared" si="135"/>
        <v>9701.061130877039</v>
      </c>
      <c r="AH259" s="359">
        <f t="shared" si="117"/>
        <v>48791</v>
      </c>
      <c r="AI259" s="334">
        <f t="shared" si="136"/>
        <v>247</v>
      </c>
      <c r="AJ259" s="335">
        <f t="shared" si="137"/>
        <v>227.1751863850151</v>
      </c>
      <c r="AK259" s="335"/>
      <c r="AL259" s="335">
        <f t="shared" si="118"/>
        <v>82.05153981208309</v>
      </c>
      <c r="AM259" s="335">
        <f t="shared" si="123"/>
        <v>145.12364657293202</v>
      </c>
      <c r="AN259" s="360">
        <f t="shared" si="138"/>
        <v>9701.061130877039</v>
      </c>
    </row>
    <row r="260" spans="1:40" ht="12.75">
      <c r="A260" s="359">
        <f t="shared" si="108"/>
        <v>48822</v>
      </c>
      <c r="B260" s="334">
        <f t="shared" si="124"/>
        <v>248</v>
      </c>
      <c r="C260" s="335">
        <f t="shared" si="125"/>
        <v>227.1751863850151</v>
      </c>
      <c r="D260" s="335"/>
      <c r="E260" s="335">
        <f t="shared" si="109"/>
        <v>80.84217609064198</v>
      </c>
      <c r="F260" s="335">
        <f t="shared" si="119"/>
        <v>146.33301029437314</v>
      </c>
      <c r="G260" s="360">
        <f t="shared" si="126"/>
        <v>9554.728120582666</v>
      </c>
      <c r="H260" s="336" t="e">
        <f t="shared" si="110"/>
        <v>#VALUE!</v>
      </c>
      <c r="I260" s="333"/>
      <c r="J260" s="359">
        <f t="shared" si="111"/>
        <v>48822</v>
      </c>
      <c r="K260" s="334">
        <f t="shared" si="127"/>
        <v>248</v>
      </c>
      <c r="L260" s="335">
        <f t="shared" si="128"/>
        <v>227.1751863850151</v>
      </c>
      <c r="M260" s="335"/>
      <c r="N260" s="335">
        <f t="shared" si="112"/>
        <v>80.84217609064198</v>
      </c>
      <c r="O260" s="335">
        <f t="shared" si="120"/>
        <v>146.33301029437314</v>
      </c>
      <c r="P260" s="360">
        <f t="shared" si="129"/>
        <v>9554.728120582666</v>
      </c>
      <c r="R260" s="359">
        <f t="shared" si="113"/>
        <v>48822</v>
      </c>
      <c r="S260" s="334">
        <f t="shared" si="130"/>
        <v>248</v>
      </c>
      <c r="T260" s="335">
        <f t="shared" si="131"/>
        <v>227.1751863850151</v>
      </c>
      <c r="U260" s="335"/>
      <c r="V260" s="335">
        <f t="shared" si="114"/>
        <v>80.84217609064198</v>
      </c>
      <c r="W260" s="335">
        <f t="shared" si="121"/>
        <v>146.33301029437314</v>
      </c>
      <c r="X260" s="360">
        <f t="shared" si="132"/>
        <v>9554.728120582666</v>
      </c>
      <c r="Z260" s="359">
        <f t="shared" si="115"/>
        <v>48822</v>
      </c>
      <c r="AA260" s="334">
        <f t="shared" si="133"/>
        <v>248</v>
      </c>
      <c r="AB260" s="335">
        <f t="shared" si="134"/>
        <v>227.1751863850151</v>
      </c>
      <c r="AC260" s="335"/>
      <c r="AD260" s="335">
        <f t="shared" si="116"/>
        <v>80.84217609064198</v>
      </c>
      <c r="AE260" s="335">
        <f t="shared" si="122"/>
        <v>146.33301029437314</v>
      </c>
      <c r="AF260" s="360">
        <f t="shared" si="135"/>
        <v>9554.728120582666</v>
      </c>
      <c r="AH260" s="359">
        <f t="shared" si="117"/>
        <v>48822</v>
      </c>
      <c r="AI260" s="334">
        <f t="shared" si="136"/>
        <v>248</v>
      </c>
      <c r="AJ260" s="335">
        <f t="shared" si="137"/>
        <v>227.1751863850151</v>
      </c>
      <c r="AK260" s="335"/>
      <c r="AL260" s="335">
        <f t="shared" si="118"/>
        <v>80.84217609064198</v>
      </c>
      <c r="AM260" s="335">
        <f t="shared" si="123"/>
        <v>146.33301029437314</v>
      </c>
      <c r="AN260" s="360">
        <f t="shared" si="138"/>
        <v>9554.728120582666</v>
      </c>
    </row>
    <row r="261" spans="1:40" ht="12.75">
      <c r="A261" s="359">
        <f t="shared" si="108"/>
        <v>48852</v>
      </c>
      <c r="B261" s="334">
        <f t="shared" si="124"/>
        <v>249</v>
      </c>
      <c r="C261" s="335">
        <f t="shared" si="125"/>
        <v>227.1751863850151</v>
      </c>
      <c r="D261" s="335"/>
      <c r="E261" s="335">
        <f t="shared" si="109"/>
        <v>79.62273433818888</v>
      </c>
      <c r="F261" s="335">
        <f t="shared" si="119"/>
        <v>147.55245204682623</v>
      </c>
      <c r="G261" s="360">
        <f t="shared" si="126"/>
        <v>9407.17566853584</v>
      </c>
      <c r="H261" s="336" t="e">
        <f t="shared" si="110"/>
        <v>#VALUE!</v>
      </c>
      <c r="I261" s="333"/>
      <c r="J261" s="359">
        <f t="shared" si="111"/>
        <v>48852</v>
      </c>
      <c r="K261" s="334">
        <f t="shared" si="127"/>
        <v>249</v>
      </c>
      <c r="L261" s="335">
        <f t="shared" si="128"/>
        <v>227.1751863850151</v>
      </c>
      <c r="M261" s="335"/>
      <c r="N261" s="335">
        <f t="shared" si="112"/>
        <v>79.62273433818888</v>
      </c>
      <c r="O261" s="335">
        <f t="shared" si="120"/>
        <v>147.55245204682623</v>
      </c>
      <c r="P261" s="360">
        <f t="shared" si="129"/>
        <v>9407.17566853584</v>
      </c>
      <c r="R261" s="359">
        <f t="shared" si="113"/>
        <v>48852</v>
      </c>
      <c r="S261" s="334">
        <f t="shared" si="130"/>
        <v>249</v>
      </c>
      <c r="T261" s="335">
        <f t="shared" si="131"/>
        <v>227.1751863850151</v>
      </c>
      <c r="U261" s="335"/>
      <c r="V261" s="335">
        <f t="shared" si="114"/>
        <v>79.62273433818888</v>
      </c>
      <c r="W261" s="335">
        <f t="shared" si="121"/>
        <v>147.55245204682623</v>
      </c>
      <c r="X261" s="360">
        <f t="shared" si="132"/>
        <v>9407.17566853584</v>
      </c>
      <c r="Z261" s="359">
        <f t="shared" si="115"/>
        <v>48852</v>
      </c>
      <c r="AA261" s="334">
        <f t="shared" si="133"/>
        <v>249</v>
      </c>
      <c r="AB261" s="335">
        <f t="shared" si="134"/>
        <v>227.1751863850151</v>
      </c>
      <c r="AC261" s="335"/>
      <c r="AD261" s="335">
        <f t="shared" si="116"/>
        <v>79.62273433818888</v>
      </c>
      <c r="AE261" s="335">
        <f t="shared" si="122"/>
        <v>147.55245204682623</v>
      </c>
      <c r="AF261" s="360">
        <f t="shared" si="135"/>
        <v>9407.17566853584</v>
      </c>
      <c r="AH261" s="359">
        <f t="shared" si="117"/>
        <v>48852</v>
      </c>
      <c r="AI261" s="334">
        <f t="shared" si="136"/>
        <v>249</v>
      </c>
      <c r="AJ261" s="335">
        <f t="shared" si="137"/>
        <v>227.1751863850151</v>
      </c>
      <c r="AK261" s="335"/>
      <c r="AL261" s="335">
        <f t="shared" si="118"/>
        <v>79.62273433818888</v>
      </c>
      <c r="AM261" s="335">
        <f t="shared" si="123"/>
        <v>147.55245204682623</v>
      </c>
      <c r="AN261" s="360">
        <f t="shared" si="138"/>
        <v>9407.17566853584</v>
      </c>
    </row>
    <row r="262" spans="1:40" ht="12.75">
      <c r="A262" s="359">
        <f t="shared" si="108"/>
        <v>48883</v>
      </c>
      <c r="B262" s="334">
        <f t="shared" si="124"/>
        <v>250</v>
      </c>
      <c r="C262" s="335">
        <f t="shared" si="125"/>
        <v>227.1751863850151</v>
      </c>
      <c r="D262" s="335"/>
      <c r="E262" s="335">
        <f t="shared" si="109"/>
        <v>78.39313057113199</v>
      </c>
      <c r="F262" s="335">
        <f t="shared" si="119"/>
        <v>148.78205581388312</v>
      </c>
      <c r="G262" s="360">
        <f t="shared" si="126"/>
        <v>9258.393612721957</v>
      </c>
      <c r="H262" s="336" t="e">
        <f t="shared" si="110"/>
        <v>#VALUE!</v>
      </c>
      <c r="I262" s="333"/>
      <c r="J262" s="359">
        <f t="shared" si="111"/>
        <v>48883</v>
      </c>
      <c r="K262" s="334">
        <f t="shared" si="127"/>
        <v>250</v>
      </c>
      <c r="L262" s="335">
        <f t="shared" si="128"/>
        <v>227.1751863850151</v>
      </c>
      <c r="M262" s="335"/>
      <c r="N262" s="335">
        <f t="shared" si="112"/>
        <v>78.39313057113199</v>
      </c>
      <c r="O262" s="335">
        <f t="shared" si="120"/>
        <v>148.78205581388312</v>
      </c>
      <c r="P262" s="360">
        <f t="shared" si="129"/>
        <v>9258.393612721957</v>
      </c>
      <c r="R262" s="359">
        <f t="shared" si="113"/>
        <v>48883</v>
      </c>
      <c r="S262" s="334">
        <f t="shared" si="130"/>
        <v>250</v>
      </c>
      <c r="T262" s="335">
        <f t="shared" si="131"/>
        <v>227.1751863850151</v>
      </c>
      <c r="U262" s="335"/>
      <c r="V262" s="335">
        <f t="shared" si="114"/>
        <v>78.39313057113199</v>
      </c>
      <c r="W262" s="335">
        <f t="shared" si="121"/>
        <v>148.78205581388312</v>
      </c>
      <c r="X262" s="360">
        <f t="shared" si="132"/>
        <v>9258.393612721957</v>
      </c>
      <c r="Z262" s="359">
        <f t="shared" si="115"/>
        <v>48883</v>
      </c>
      <c r="AA262" s="334">
        <f t="shared" si="133"/>
        <v>250</v>
      </c>
      <c r="AB262" s="335">
        <f t="shared" si="134"/>
        <v>227.1751863850151</v>
      </c>
      <c r="AC262" s="335"/>
      <c r="AD262" s="335">
        <f t="shared" si="116"/>
        <v>78.39313057113199</v>
      </c>
      <c r="AE262" s="335">
        <f t="shared" si="122"/>
        <v>148.78205581388312</v>
      </c>
      <c r="AF262" s="360">
        <f t="shared" si="135"/>
        <v>9258.393612721957</v>
      </c>
      <c r="AH262" s="359">
        <f t="shared" si="117"/>
        <v>48883</v>
      </c>
      <c r="AI262" s="334">
        <f t="shared" si="136"/>
        <v>250</v>
      </c>
      <c r="AJ262" s="335">
        <f t="shared" si="137"/>
        <v>227.1751863850151</v>
      </c>
      <c r="AK262" s="335"/>
      <c r="AL262" s="335">
        <f t="shared" si="118"/>
        <v>78.39313057113199</v>
      </c>
      <c r="AM262" s="335">
        <f t="shared" si="123"/>
        <v>148.78205581388312</v>
      </c>
      <c r="AN262" s="360">
        <f t="shared" si="138"/>
        <v>9258.393612721957</v>
      </c>
    </row>
    <row r="263" spans="1:40" ht="12.75">
      <c r="A263" s="359">
        <f t="shared" si="108"/>
        <v>48913</v>
      </c>
      <c r="B263" s="334">
        <f t="shared" si="124"/>
        <v>251</v>
      </c>
      <c r="C263" s="335">
        <f t="shared" si="125"/>
        <v>227.1751863850151</v>
      </c>
      <c r="D263" s="335"/>
      <c r="E263" s="335">
        <f t="shared" si="109"/>
        <v>77.15328010601631</v>
      </c>
      <c r="F263" s="335">
        <f t="shared" si="119"/>
        <v>150.0219062789988</v>
      </c>
      <c r="G263" s="360">
        <f t="shared" si="126"/>
        <v>9108.371706442958</v>
      </c>
      <c r="H263" s="336" t="e">
        <f t="shared" si="110"/>
        <v>#VALUE!</v>
      </c>
      <c r="I263" s="333"/>
      <c r="J263" s="359">
        <f t="shared" si="111"/>
        <v>48913</v>
      </c>
      <c r="K263" s="334">
        <f t="shared" si="127"/>
        <v>251</v>
      </c>
      <c r="L263" s="335">
        <f t="shared" si="128"/>
        <v>227.1751863850151</v>
      </c>
      <c r="M263" s="335"/>
      <c r="N263" s="335">
        <f t="shared" si="112"/>
        <v>77.15328010601631</v>
      </c>
      <c r="O263" s="335">
        <f t="shared" si="120"/>
        <v>150.0219062789988</v>
      </c>
      <c r="P263" s="360">
        <f t="shared" si="129"/>
        <v>9108.371706442958</v>
      </c>
      <c r="R263" s="359">
        <f t="shared" si="113"/>
        <v>48913</v>
      </c>
      <c r="S263" s="334">
        <f t="shared" si="130"/>
        <v>251</v>
      </c>
      <c r="T263" s="335">
        <f t="shared" si="131"/>
        <v>227.1751863850151</v>
      </c>
      <c r="U263" s="335"/>
      <c r="V263" s="335">
        <f t="shared" si="114"/>
        <v>77.15328010601631</v>
      </c>
      <c r="W263" s="335">
        <f t="shared" si="121"/>
        <v>150.0219062789988</v>
      </c>
      <c r="X263" s="360">
        <f t="shared" si="132"/>
        <v>9108.371706442958</v>
      </c>
      <c r="Z263" s="359">
        <f t="shared" si="115"/>
        <v>48913</v>
      </c>
      <c r="AA263" s="334">
        <f t="shared" si="133"/>
        <v>251</v>
      </c>
      <c r="AB263" s="335">
        <f t="shared" si="134"/>
        <v>227.1751863850151</v>
      </c>
      <c r="AC263" s="335"/>
      <c r="AD263" s="335">
        <f t="shared" si="116"/>
        <v>77.15328010601631</v>
      </c>
      <c r="AE263" s="335">
        <f t="shared" si="122"/>
        <v>150.0219062789988</v>
      </c>
      <c r="AF263" s="360">
        <f t="shared" si="135"/>
        <v>9108.371706442958</v>
      </c>
      <c r="AH263" s="359">
        <f t="shared" si="117"/>
        <v>48913</v>
      </c>
      <c r="AI263" s="334">
        <f t="shared" si="136"/>
        <v>251</v>
      </c>
      <c r="AJ263" s="335">
        <f t="shared" si="137"/>
        <v>227.1751863850151</v>
      </c>
      <c r="AK263" s="335"/>
      <c r="AL263" s="335">
        <f t="shared" si="118"/>
        <v>77.15328010601631</v>
      </c>
      <c r="AM263" s="335">
        <f t="shared" si="123"/>
        <v>150.0219062789988</v>
      </c>
      <c r="AN263" s="360">
        <f t="shared" si="138"/>
        <v>9108.371706442958</v>
      </c>
    </row>
    <row r="264" spans="1:40" ht="12.75">
      <c r="A264" s="359">
        <f t="shared" si="108"/>
        <v>48944</v>
      </c>
      <c r="B264" s="334">
        <f t="shared" si="124"/>
        <v>252</v>
      </c>
      <c r="C264" s="335">
        <f t="shared" si="125"/>
        <v>227.1751863850151</v>
      </c>
      <c r="D264" s="335"/>
      <c r="E264" s="335">
        <f t="shared" si="109"/>
        <v>75.90309755369132</v>
      </c>
      <c r="F264" s="335">
        <f t="shared" si="119"/>
        <v>151.2720888313238</v>
      </c>
      <c r="G264" s="360">
        <f t="shared" si="126"/>
        <v>8957.099617611635</v>
      </c>
      <c r="H264" s="336" t="e">
        <f t="shared" si="110"/>
        <v>#VALUE!</v>
      </c>
      <c r="I264" s="333"/>
      <c r="J264" s="359">
        <f t="shared" si="111"/>
        <v>48944</v>
      </c>
      <c r="K264" s="334">
        <f t="shared" si="127"/>
        <v>252</v>
      </c>
      <c r="L264" s="335">
        <f t="shared" si="128"/>
        <v>227.1751863850151</v>
      </c>
      <c r="M264" s="335"/>
      <c r="N264" s="335">
        <f t="shared" si="112"/>
        <v>75.90309755369132</v>
      </c>
      <c r="O264" s="335">
        <f t="shared" si="120"/>
        <v>151.2720888313238</v>
      </c>
      <c r="P264" s="360">
        <f t="shared" si="129"/>
        <v>8957.099617611635</v>
      </c>
      <c r="R264" s="359">
        <f t="shared" si="113"/>
        <v>48944</v>
      </c>
      <c r="S264" s="334">
        <f t="shared" si="130"/>
        <v>252</v>
      </c>
      <c r="T264" s="335">
        <f t="shared" si="131"/>
        <v>227.1751863850151</v>
      </c>
      <c r="U264" s="335"/>
      <c r="V264" s="335">
        <f t="shared" si="114"/>
        <v>75.90309755369132</v>
      </c>
      <c r="W264" s="335">
        <f t="shared" si="121"/>
        <v>151.2720888313238</v>
      </c>
      <c r="X264" s="360">
        <f t="shared" si="132"/>
        <v>8957.099617611635</v>
      </c>
      <c r="Z264" s="359">
        <f t="shared" si="115"/>
        <v>48944</v>
      </c>
      <c r="AA264" s="334">
        <f t="shared" si="133"/>
        <v>252</v>
      </c>
      <c r="AB264" s="335">
        <f t="shared" si="134"/>
        <v>227.1751863850151</v>
      </c>
      <c r="AC264" s="335"/>
      <c r="AD264" s="335">
        <f t="shared" si="116"/>
        <v>75.90309755369132</v>
      </c>
      <c r="AE264" s="335">
        <f t="shared" si="122"/>
        <v>151.2720888313238</v>
      </c>
      <c r="AF264" s="360">
        <f t="shared" si="135"/>
        <v>8957.099617611635</v>
      </c>
      <c r="AH264" s="359">
        <f t="shared" si="117"/>
        <v>48944</v>
      </c>
      <c r="AI264" s="334">
        <f t="shared" si="136"/>
        <v>252</v>
      </c>
      <c r="AJ264" s="335">
        <f t="shared" si="137"/>
        <v>227.1751863850151</v>
      </c>
      <c r="AK264" s="335"/>
      <c r="AL264" s="335">
        <f t="shared" si="118"/>
        <v>75.90309755369132</v>
      </c>
      <c r="AM264" s="335">
        <f t="shared" si="123"/>
        <v>151.2720888313238</v>
      </c>
      <c r="AN264" s="360">
        <f t="shared" si="138"/>
        <v>8957.099617611635</v>
      </c>
    </row>
    <row r="265" spans="1:40" ht="12.75">
      <c r="A265" s="359">
        <f t="shared" si="108"/>
        <v>48975</v>
      </c>
      <c r="B265" s="334">
        <f t="shared" si="124"/>
        <v>253</v>
      </c>
      <c r="C265" s="335">
        <f t="shared" si="125"/>
        <v>227.1751863850151</v>
      </c>
      <c r="D265" s="335"/>
      <c r="E265" s="335">
        <f t="shared" si="109"/>
        <v>74.64249681343028</v>
      </c>
      <c r="F265" s="335">
        <f t="shared" si="119"/>
        <v>152.53268957158483</v>
      </c>
      <c r="G265" s="360">
        <f t="shared" si="126"/>
        <v>8804.56692804005</v>
      </c>
      <c r="H265" s="336" t="e">
        <f t="shared" si="110"/>
        <v>#VALUE!</v>
      </c>
      <c r="I265" s="333"/>
      <c r="J265" s="359">
        <f t="shared" si="111"/>
        <v>48975</v>
      </c>
      <c r="K265" s="334">
        <f t="shared" si="127"/>
        <v>253</v>
      </c>
      <c r="L265" s="335">
        <f t="shared" si="128"/>
        <v>227.1751863850151</v>
      </c>
      <c r="M265" s="335"/>
      <c r="N265" s="335">
        <f t="shared" si="112"/>
        <v>74.64249681343028</v>
      </c>
      <c r="O265" s="335">
        <f t="shared" si="120"/>
        <v>152.53268957158483</v>
      </c>
      <c r="P265" s="360">
        <f t="shared" si="129"/>
        <v>8804.56692804005</v>
      </c>
      <c r="R265" s="359">
        <f t="shared" si="113"/>
        <v>48975</v>
      </c>
      <c r="S265" s="334">
        <f t="shared" si="130"/>
        <v>253</v>
      </c>
      <c r="T265" s="335">
        <f t="shared" si="131"/>
        <v>227.1751863850151</v>
      </c>
      <c r="U265" s="335"/>
      <c r="V265" s="335">
        <f t="shared" si="114"/>
        <v>74.64249681343028</v>
      </c>
      <c r="W265" s="335">
        <f t="shared" si="121"/>
        <v>152.53268957158483</v>
      </c>
      <c r="X265" s="360">
        <f t="shared" si="132"/>
        <v>8804.56692804005</v>
      </c>
      <c r="Z265" s="359">
        <f t="shared" si="115"/>
        <v>48975</v>
      </c>
      <c r="AA265" s="334">
        <f t="shared" si="133"/>
        <v>253</v>
      </c>
      <c r="AB265" s="335">
        <f t="shared" si="134"/>
        <v>227.1751863850151</v>
      </c>
      <c r="AC265" s="335"/>
      <c r="AD265" s="335">
        <f t="shared" si="116"/>
        <v>74.64249681343028</v>
      </c>
      <c r="AE265" s="335">
        <f t="shared" si="122"/>
        <v>152.53268957158483</v>
      </c>
      <c r="AF265" s="360">
        <f t="shared" si="135"/>
        <v>8804.56692804005</v>
      </c>
      <c r="AH265" s="359">
        <f t="shared" si="117"/>
        <v>48975</v>
      </c>
      <c r="AI265" s="334">
        <f t="shared" si="136"/>
        <v>253</v>
      </c>
      <c r="AJ265" s="335">
        <f t="shared" si="137"/>
        <v>227.1751863850151</v>
      </c>
      <c r="AK265" s="335"/>
      <c r="AL265" s="335">
        <f t="shared" si="118"/>
        <v>74.64249681343028</v>
      </c>
      <c r="AM265" s="335">
        <f t="shared" si="123"/>
        <v>152.53268957158483</v>
      </c>
      <c r="AN265" s="360">
        <f t="shared" si="138"/>
        <v>8804.56692804005</v>
      </c>
    </row>
    <row r="266" spans="1:40" ht="12.75">
      <c r="A266" s="359">
        <f t="shared" si="108"/>
        <v>49003</v>
      </c>
      <c r="B266" s="334">
        <f t="shared" si="124"/>
        <v>254</v>
      </c>
      <c r="C266" s="335">
        <f t="shared" si="125"/>
        <v>227.1751863850151</v>
      </c>
      <c r="D266" s="335"/>
      <c r="E266" s="335">
        <f t="shared" si="109"/>
        <v>73.37139106700042</v>
      </c>
      <c r="F266" s="335">
        <f t="shared" si="119"/>
        <v>153.8037953180147</v>
      </c>
      <c r="G266" s="360">
        <f t="shared" si="126"/>
        <v>8650.763132722035</v>
      </c>
      <c r="H266" s="336" t="e">
        <f t="shared" si="110"/>
        <v>#VALUE!</v>
      </c>
      <c r="I266" s="333"/>
      <c r="J266" s="359">
        <f t="shared" si="111"/>
        <v>49003</v>
      </c>
      <c r="K266" s="334">
        <f t="shared" si="127"/>
        <v>254</v>
      </c>
      <c r="L266" s="335">
        <f t="shared" si="128"/>
        <v>227.1751863850151</v>
      </c>
      <c r="M266" s="335"/>
      <c r="N266" s="335">
        <f t="shared" si="112"/>
        <v>73.37139106700042</v>
      </c>
      <c r="O266" s="335">
        <f t="shared" si="120"/>
        <v>153.8037953180147</v>
      </c>
      <c r="P266" s="360">
        <f t="shared" si="129"/>
        <v>8650.763132722035</v>
      </c>
      <c r="R266" s="359">
        <f t="shared" si="113"/>
        <v>49003</v>
      </c>
      <c r="S266" s="334">
        <f t="shared" si="130"/>
        <v>254</v>
      </c>
      <c r="T266" s="335">
        <f t="shared" si="131"/>
        <v>227.1751863850151</v>
      </c>
      <c r="U266" s="335"/>
      <c r="V266" s="335">
        <f t="shared" si="114"/>
        <v>73.37139106700042</v>
      </c>
      <c r="W266" s="335">
        <f t="shared" si="121"/>
        <v>153.8037953180147</v>
      </c>
      <c r="X266" s="360">
        <f t="shared" si="132"/>
        <v>8650.763132722035</v>
      </c>
      <c r="Z266" s="359">
        <f t="shared" si="115"/>
        <v>49003</v>
      </c>
      <c r="AA266" s="334">
        <f t="shared" si="133"/>
        <v>254</v>
      </c>
      <c r="AB266" s="335">
        <f t="shared" si="134"/>
        <v>227.1751863850151</v>
      </c>
      <c r="AC266" s="335"/>
      <c r="AD266" s="335">
        <f t="shared" si="116"/>
        <v>73.37139106700042</v>
      </c>
      <c r="AE266" s="335">
        <f t="shared" si="122"/>
        <v>153.8037953180147</v>
      </c>
      <c r="AF266" s="360">
        <f t="shared" si="135"/>
        <v>8650.763132722035</v>
      </c>
      <c r="AH266" s="359">
        <f t="shared" si="117"/>
        <v>49003</v>
      </c>
      <c r="AI266" s="334">
        <f t="shared" si="136"/>
        <v>254</v>
      </c>
      <c r="AJ266" s="335">
        <f t="shared" si="137"/>
        <v>227.1751863850151</v>
      </c>
      <c r="AK266" s="335"/>
      <c r="AL266" s="335">
        <f t="shared" si="118"/>
        <v>73.37139106700042</v>
      </c>
      <c r="AM266" s="335">
        <f t="shared" si="123"/>
        <v>153.8037953180147</v>
      </c>
      <c r="AN266" s="360">
        <f t="shared" si="138"/>
        <v>8650.763132722035</v>
      </c>
    </row>
    <row r="267" spans="1:40" ht="12.75">
      <c r="A267" s="359">
        <f t="shared" si="108"/>
        <v>49034</v>
      </c>
      <c r="B267" s="334">
        <f t="shared" si="124"/>
        <v>255</v>
      </c>
      <c r="C267" s="335">
        <f t="shared" si="125"/>
        <v>227.1751863850151</v>
      </c>
      <c r="D267" s="335"/>
      <c r="E267" s="335">
        <f t="shared" si="109"/>
        <v>72.08969277268362</v>
      </c>
      <c r="F267" s="335">
        <f t="shared" si="119"/>
        <v>155.0854936123315</v>
      </c>
      <c r="G267" s="360">
        <f t="shared" si="126"/>
        <v>8495.677639109703</v>
      </c>
      <c r="H267" s="336" t="e">
        <f t="shared" si="110"/>
        <v>#VALUE!</v>
      </c>
      <c r="I267" s="333"/>
      <c r="J267" s="359">
        <f t="shared" si="111"/>
        <v>49034</v>
      </c>
      <c r="K267" s="334">
        <f t="shared" si="127"/>
        <v>255</v>
      </c>
      <c r="L267" s="335">
        <f t="shared" si="128"/>
        <v>227.1751863850151</v>
      </c>
      <c r="M267" s="335"/>
      <c r="N267" s="335">
        <f t="shared" si="112"/>
        <v>72.08969277268362</v>
      </c>
      <c r="O267" s="335">
        <f t="shared" si="120"/>
        <v>155.0854936123315</v>
      </c>
      <c r="P267" s="360">
        <f t="shared" si="129"/>
        <v>8495.677639109703</v>
      </c>
      <c r="R267" s="359">
        <f t="shared" si="113"/>
        <v>49034</v>
      </c>
      <c r="S267" s="334">
        <f t="shared" si="130"/>
        <v>255</v>
      </c>
      <c r="T267" s="335">
        <f t="shared" si="131"/>
        <v>227.1751863850151</v>
      </c>
      <c r="U267" s="335"/>
      <c r="V267" s="335">
        <f t="shared" si="114"/>
        <v>72.08969277268362</v>
      </c>
      <c r="W267" s="335">
        <f t="shared" si="121"/>
        <v>155.0854936123315</v>
      </c>
      <c r="X267" s="360">
        <f t="shared" si="132"/>
        <v>8495.677639109703</v>
      </c>
      <c r="Z267" s="359">
        <f t="shared" si="115"/>
        <v>49034</v>
      </c>
      <c r="AA267" s="334">
        <f t="shared" si="133"/>
        <v>255</v>
      </c>
      <c r="AB267" s="335">
        <f t="shared" si="134"/>
        <v>227.1751863850151</v>
      </c>
      <c r="AC267" s="335"/>
      <c r="AD267" s="335">
        <f t="shared" si="116"/>
        <v>72.08969277268362</v>
      </c>
      <c r="AE267" s="335">
        <f t="shared" si="122"/>
        <v>155.0854936123315</v>
      </c>
      <c r="AF267" s="360">
        <f t="shared" si="135"/>
        <v>8495.677639109703</v>
      </c>
      <c r="AH267" s="359">
        <f t="shared" si="117"/>
        <v>49034</v>
      </c>
      <c r="AI267" s="334">
        <f t="shared" si="136"/>
        <v>255</v>
      </c>
      <c r="AJ267" s="335">
        <f t="shared" si="137"/>
        <v>227.1751863850151</v>
      </c>
      <c r="AK267" s="335"/>
      <c r="AL267" s="335">
        <f t="shared" si="118"/>
        <v>72.08969277268362</v>
      </c>
      <c r="AM267" s="335">
        <f t="shared" si="123"/>
        <v>155.0854936123315</v>
      </c>
      <c r="AN267" s="360">
        <f t="shared" si="138"/>
        <v>8495.677639109703</v>
      </c>
    </row>
    <row r="268" spans="1:40" ht="12.75">
      <c r="A268" s="359">
        <f t="shared" si="108"/>
        <v>49064</v>
      </c>
      <c r="B268" s="334">
        <f t="shared" si="124"/>
        <v>256</v>
      </c>
      <c r="C268" s="335">
        <f t="shared" si="125"/>
        <v>227.1751863850151</v>
      </c>
      <c r="D268" s="335"/>
      <c r="E268" s="335">
        <f t="shared" si="109"/>
        <v>70.79731365924752</v>
      </c>
      <c r="F268" s="335">
        <f t="shared" si="119"/>
        <v>156.3778727257676</v>
      </c>
      <c r="G268" s="360">
        <f t="shared" si="126"/>
        <v>8339.299766383936</v>
      </c>
      <c r="H268" s="336" t="e">
        <f t="shared" si="110"/>
        <v>#VALUE!</v>
      </c>
      <c r="I268" s="333"/>
      <c r="J268" s="359">
        <f t="shared" si="111"/>
        <v>49064</v>
      </c>
      <c r="K268" s="334">
        <f t="shared" si="127"/>
        <v>256</v>
      </c>
      <c r="L268" s="335">
        <f t="shared" si="128"/>
        <v>227.1751863850151</v>
      </c>
      <c r="M268" s="335"/>
      <c r="N268" s="335">
        <f t="shared" si="112"/>
        <v>70.79731365924752</v>
      </c>
      <c r="O268" s="335">
        <f t="shared" si="120"/>
        <v>156.3778727257676</v>
      </c>
      <c r="P268" s="360">
        <f t="shared" si="129"/>
        <v>8339.299766383936</v>
      </c>
      <c r="R268" s="359">
        <f t="shared" si="113"/>
        <v>49064</v>
      </c>
      <c r="S268" s="334">
        <f t="shared" si="130"/>
        <v>256</v>
      </c>
      <c r="T268" s="335">
        <f t="shared" si="131"/>
        <v>227.1751863850151</v>
      </c>
      <c r="U268" s="335"/>
      <c r="V268" s="335">
        <f t="shared" si="114"/>
        <v>70.79731365924752</v>
      </c>
      <c r="W268" s="335">
        <f t="shared" si="121"/>
        <v>156.3778727257676</v>
      </c>
      <c r="X268" s="360">
        <f t="shared" si="132"/>
        <v>8339.299766383936</v>
      </c>
      <c r="Z268" s="359">
        <f t="shared" si="115"/>
        <v>49064</v>
      </c>
      <c r="AA268" s="334">
        <f t="shared" si="133"/>
        <v>256</v>
      </c>
      <c r="AB268" s="335">
        <f t="shared" si="134"/>
        <v>227.1751863850151</v>
      </c>
      <c r="AC268" s="335"/>
      <c r="AD268" s="335">
        <f t="shared" si="116"/>
        <v>70.79731365924752</v>
      </c>
      <c r="AE268" s="335">
        <f t="shared" si="122"/>
        <v>156.3778727257676</v>
      </c>
      <c r="AF268" s="360">
        <f t="shared" si="135"/>
        <v>8339.299766383936</v>
      </c>
      <c r="AH268" s="359">
        <f t="shared" si="117"/>
        <v>49064</v>
      </c>
      <c r="AI268" s="334">
        <f t="shared" si="136"/>
        <v>256</v>
      </c>
      <c r="AJ268" s="335">
        <f t="shared" si="137"/>
        <v>227.1751863850151</v>
      </c>
      <c r="AK268" s="335"/>
      <c r="AL268" s="335">
        <f t="shared" si="118"/>
        <v>70.79731365924752</v>
      </c>
      <c r="AM268" s="335">
        <f t="shared" si="123"/>
        <v>156.3778727257676</v>
      </c>
      <c r="AN268" s="360">
        <f t="shared" si="138"/>
        <v>8339.299766383936</v>
      </c>
    </row>
    <row r="269" spans="1:40" ht="12.75">
      <c r="A269" s="359">
        <f t="shared" si="108"/>
        <v>49095</v>
      </c>
      <c r="B269" s="334">
        <f t="shared" si="124"/>
        <v>257</v>
      </c>
      <c r="C269" s="335">
        <f t="shared" si="125"/>
        <v>227.1751863850151</v>
      </c>
      <c r="D269" s="335"/>
      <c r="E269" s="335">
        <f t="shared" si="109"/>
        <v>69.49416471986613</v>
      </c>
      <c r="F269" s="335">
        <f t="shared" si="119"/>
        <v>157.681021665149</v>
      </c>
      <c r="G269" s="360">
        <f t="shared" si="126"/>
        <v>8181.618744718787</v>
      </c>
      <c r="H269" s="336" t="e">
        <f t="shared" si="110"/>
        <v>#VALUE!</v>
      </c>
      <c r="I269" s="333"/>
      <c r="J269" s="359">
        <f t="shared" si="111"/>
        <v>49095</v>
      </c>
      <c r="K269" s="334">
        <f t="shared" si="127"/>
        <v>257</v>
      </c>
      <c r="L269" s="335">
        <f t="shared" si="128"/>
        <v>227.1751863850151</v>
      </c>
      <c r="M269" s="335"/>
      <c r="N269" s="335">
        <f t="shared" si="112"/>
        <v>69.49416471986613</v>
      </c>
      <c r="O269" s="335">
        <f t="shared" si="120"/>
        <v>157.681021665149</v>
      </c>
      <c r="P269" s="360">
        <f t="shared" si="129"/>
        <v>8181.618744718787</v>
      </c>
      <c r="R269" s="359">
        <f t="shared" si="113"/>
        <v>49095</v>
      </c>
      <c r="S269" s="334">
        <f t="shared" si="130"/>
        <v>257</v>
      </c>
      <c r="T269" s="335">
        <f t="shared" si="131"/>
        <v>227.1751863850151</v>
      </c>
      <c r="U269" s="335"/>
      <c r="V269" s="335">
        <f t="shared" si="114"/>
        <v>69.49416471986613</v>
      </c>
      <c r="W269" s="335">
        <f t="shared" si="121"/>
        <v>157.681021665149</v>
      </c>
      <c r="X269" s="360">
        <f t="shared" si="132"/>
        <v>8181.618744718787</v>
      </c>
      <c r="Z269" s="359">
        <f t="shared" si="115"/>
        <v>49095</v>
      </c>
      <c r="AA269" s="334">
        <f t="shared" si="133"/>
        <v>257</v>
      </c>
      <c r="AB269" s="335">
        <f t="shared" si="134"/>
        <v>227.1751863850151</v>
      </c>
      <c r="AC269" s="335"/>
      <c r="AD269" s="335">
        <f t="shared" si="116"/>
        <v>69.49416471986613</v>
      </c>
      <c r="AE269" s="335">
        <f t="shared" si="122"/>
        <v>157.681021665149</v>
      </c>
      <c r="AF269" s="360">
        <f t="shared" si="135"/>
        <v>8181.618744718787</v>
      </c>
      <c r="AH269" s="359">
        <f t="shared" si="117"/>
        <v>49095</v>
      </c>
      <c r="AI269" s="334">
        <f t="shared" si="136"/>
        <v>257</v>
      </c>
      <c r="AJ269" s="335">
        <f t="shared" si="137"/>
        <v>227.1751863850151</v>
      </c>
      <c r="AK269" s="335"/>
      <c r="AL269" s="335">
        <f t="shared" si="118"/>
        <v>69.49416471986613</v>
      </c>
      <c r="AM269" s="335">
        <f t="shared" si="123"/>
        <v>157.681021665149</v>
      </c>
      <c r="AN269" s="360">
        <f t="shared" si="138"/>
        <v>8181.618744718787</v>
      </c>
    </row>
    <row r="270" spans="1:40" ht="12.75">
      <c r="A270" s="359">
        <f aca="true" t="shared" si="139" ref="A270:A333">IF($C$8&lt;27,DATE((YEAR(A269)-1900),MONTH(A269)+1,$C$8),DATE((YEAR(A269)-1900),MONTH(A269)+2,1)-1)</f>
        <v>49125</v>
      </c>
      <c r="B270" s="334">
        <f t="shared" si="124"/>
        <v>258</v>
      </c>
      <c r="C270" s="335">
        <f t="shared" si="125"/>
        <v>227.1751863850151</v>
      </c>
      <c r="D270" s="335"/>
      <c r="E270" s="335">
        <f aca="true" t="shared" si="140" ref="E270:E333">IF(G269&gt;0.5,$D$5*G269,"")</f>
        <v>68.18015620598989</v>
      </c>
      <c r="F270" s="335">
        <f t="shared" si="119"/>
        <v>158.9950301790252</v>
      </c>
      <c r="G270" s="360">
        <f t="shared" si="126"/>
        <v>8022.623714539762</v>
      </c>
      <c r="H270" s="336" t="e">
        <f aca="true" t="shared" si="141" ref="H270:H333">IF(G269&gt;0.5,E270*$J$5,"")</f>
        <v>#VALUE!</v>
      </c>
      <c r="I270" s="333"/>
      <c r="J270" s="359">
        <f aca="true" t="shared" si="142" ref="J270:J333">IF($C$8&lt;27,DATE((YEAR(J269)-1900),MONTH(J269)+1,$C$8),DATE((YEAR(J269)-1900),MONTH(J269)+2,1)-1)</f>
        <v>49125</v>
      </c>
      <c r="K270" s="334">
        <f t="shared" si="127"/>
        <v>258</v>
      </c>
      <c r="L270" s="335">
        <f t="shared" si="128"/>
        <v>227.1751863850151</v>
      </c>
      <c r="M270" s="335"/>
      <c r="N270" s="335">
        <f aca="true" t="shared" si="143" ref="N270:N333">IF(P269&gt;0.5,$D$5*P269,"")</f>
        <v>68.18015620598989</v>
      </c>
      <c r="O270" s="335">
        <f t="shared" si="120"/>
        <v>158.9950301790252</v>
      </c>
      <c r="P270" s="360">
        <f t="shared" si="129"/>
        <v>8022.623714539762</v>
      </c>
      <c r="R270" s="359">
        <f aca="true" t="shared" si="144" ref="R270:R333">IF($C$8&lt;27,DATE((YEAR(R269)-1900),MONTH(R269)+1,$C$8),DATE((YEAR(R269)-1900),MONTH(R269)+2,1)-1)</f>
        <v>49125</v>
      </c>
      <c r="S270" s="334">
        <f t="shared" si="130"/>
        <v>258</v>
      </c>
      <c r="T270" s="335">
        <f t="shared" si="131"/>
        <v>227.1751863850151</v>
      </c>
      <c r="U270" s="335"/>
      <c r="V270" s="335">
        <f aca="true" t="shared" si="145" ref="V270:V333">IF(X269&gt;0.5,$D$5*X269,"")</f>
        <v>68.18015620598989</v>
      </c>
      <c r="W270" s="335">
        <f t="shared" si="121"/>
        <v>158.9950301790252</v>
      </c>
      <c r="X270" s="360">
        <f t="shared" si="132"/>
        <v>8022.623714539762</v>
      </c>
      <c r="Z270" s="359">
        <f aca="true" t="shared" si="146" ref="Z270:Z333">IF($C$8&lt;27,DATE((YEAR(Z269)-1900),MONTH(Z269)+1,$C$8),DATE((YEAR(Z269)-1900),MONTH(Z269)+2,1)-1)</f>
        <v>49125</v>
      </c>
      <c r="AA270" s="334">
        <f t="shared" si="133"/>
        <v>258</v>
      </c>
      <c r="AB270" s="335">
        <f t="shared" si="134"/>
        <v>227.1751863850151</v>
      </c>
      <c r="AC270" s="335"/>
      <c r="AD270" s="335">
        <f aca="true" t="shared" si="147" ref="AD270:AD333">IF(AF269&gt;0.5,$D$5*AF269,"")</f>
        <v>68.18015620598989</v>
      </c>
      <c r="AE270" s="335">
        <f t="shared" si="122"/>
        <v>158.9950301790252</v>
      </c>
      <c r="AF270" s="360">
        <f t="shared" si="135"/>
        <v>8022.623714539762</v>
      </c>
      <c r="AH270" s="359">
        <f aca="true" t="shared" si="148" ref="AH270:AH333">IF($C$8&lt;27,DATE((YEAR(AH269)-1900),MONTH(AH269)+1,$C$8),DATE((YEAR(AH269)-1900),MONTH(AH269)+2,1)-1)</f>
        <v>49125</v>
      </c>
      <c r="AI270" s="334">
        <f t="shared" si="136"/>
        <v>258</v>
      </c>
      <c r="AJ270" s="335">
        <f t="shared" si="137"/>
        <v>227.1751863850151</v>
      </c>
      <c r="AK270" s="335"/>
      <c r="AL270" s="335">
        <f aca="true" t="shared" si="149" ref="AL270:AL333">IF(AN269&gt;0.5,$D$5*AN269,"")</f>
        <v>68.18015620598989</v>
      </c>
      <c r="AM270" s="335">
        <f t="shared" si="123"/>
        <v>158.9950301790252</v>
      </c>
      <c r="AN270" s="360">
        <f t="shared" si="138"/>
        <v>8022.623714539762</v>
      </c>
    </row>
    <row r="271" spans="1:40" ht="12.75">
      <c r="A271" s="359">
        <f t="shared" si="139"/>
        <v>49156</v>
      </c>
      <c r="B271" s="334">
        <f t="shared" si="124"/>
        <v>259</v>
      </c>
      <c r="C271" s="335">
        <f t="shared" si="125"/>
        <v>227.1751863850151</v>
      </c>
      <c r="D271" s="335"/>
      <c r="E271" s="335">
        <f t="shared" si="140"/>
        <v>66.85519762116468</v>
      </c>
      <c r="F271" s="335">
        <f aca="true" t="shared" si="150" ref="F271:F334">IF(G270&gt;0.5,C271-E271+D271,"")</f>
        <v>160.31998876385043</v>
      </c>
      <c r="G271" s="360">
        <f t="shared" si="126"/>
        <v>7862.3037257759115</v>
      </c>
      <c r="H271" s="336" t="e">
        <f t="shared" si="141"/>
        <v>#VALUE!</v>
      </c>
      <c r="I271" s="333"/>
      <c r="J271" s="359">
        <f t="shared" si="142"/>
        <v>49156</v>
      </c>
      <c r="K271" s="334">
        <f t="shared" si="127"/>
        <v>259</v>
      </c>
      <c r="L271" s="335">
        <f t="shared" si="128"/>
        <v>227.1751863850151</v>
      </c>
      <c r="M271" s="335"/>
      <c r="N271" s="335">
        <f t="shared" si="143"/>
        <v>66.85519762116468</v>
      </c>
      <c r="O271" s="335">
        <f aca="true" t="shared" si="151" ref="O271:O334">IF(P270&gt;0.5,L271-N271+M271,"")</f>
        <v>160.31998876385043</v>
      </c>
      <c r="P271" s="360">
        <f t="shared" si="129"/>
        <v>7862.3037257759115</v>
      </c>
      <c r="R271" s="359">
        <f t="shared" si="144"/>
        <v>49156</v>
      </c>
      <c r="S271" s="334">
        <f t="shared" si="130"/>
        <v>259</v>
      </c>
      <c r="T271" s="335">
        <f t="shared" si="131"/>
        <v>227.1751863850151</v>
      </c>
      <c r="U271" s="335"/>
      <c r="V271" s="335">
        <f t="shared" si="145"/>
        <v>66.85519762116468</v>
      </c>
      <c r="W271" s="335">
        <f aca="true" t="shared" si="152" ref="W271:W334">IF(X270&gt;0.5,T271-V271+U271,"")</f>
        <v>160.31998876385043</v>
      </c>
      <c r="X271" s="360">
        <f t="shared" si="132"/>
        <v>7862.3037257759115</v>
      </c>
      <c r="Z271" s="359">
        <f t="shared" si="146"/>
        <v>49156</v>
      </c>
      <c r="AA271" s="334">
        <f t="shared" si="133"/>
        <v>259</v>
      </c>
      <c r="AB271" s="335">
        <f t="shared" si="134"/>
        <v>227.1751863850151</v>
      </c>
      <c r="AC271" s="335"/>
      <c r="AD271" s="335">
        <f t="shared" si="147"/>
        <v>66.85519762116468</v>
      </c>
      <c r="AE271" s="335">
        <f aca="true" t="shared" si="153" ref="AE271:AE334">IF(AF270&gt;0.5,AB271-AD271+AC271,"")</f>
        <v>160.31998876385043</v>
      </c>
      <c r="AF271" s="360">
        <f t="shared" si="135"/>
        <v>7862.3037257759115</v>
      </c>
      <c r="AH271" s="359">
        <f t="shared" si="148"/>
        <v>49156</v>
      </c>
      <c r="AI271" s="334">
        <f t="shared" si="136"/>
        <v>259</v>
      </c>
      <c r="AJ271" s="335">
        <f t="shared" si="137"/>
        <v>227.1751863850151</v>
      </c>
      <c r="AK271" s="335"/>
      <c r="AL271" s="335">
        <f t="shared" si="149"/>
        <v>66.85519762116468</v>
      </c>
      <c r="AM271" s="335">
        <f aca="true" t="shared" si="154" ref="AM271:AM334">IF(AN270&gt;0.5,AJ271-AL271+AK271,"")</f>
        <v>160.31998876385043</v>
      </c>
      <c r="AN271" s="360">
        <f t="shared" si="138"/>
        <v>7862.3037257759115</v>
      </c>
    </row>
    <row r="272" spans="1:40" ht="12.75">
      <c r="A272" s="359">
        <f t="shared" si="139"/>
        <v>49187</v>
      </c>
      <c r="B272" s="334">
        <f t="shared" si="124"/>
        <v>260</v>
      </c>
      <c r="C272" s="335">
        <f t="shared" si="125"/>
        <v>227.1751863850151</v>
      </c>
      <c r="D272" s="335"/>
      <c r="E272" s="335">
        <f t="shared" si="140"/>
        <v>65.51919771479926</v>
      </c>
      <c r="F272" s="335">
        <f t="shared" si="150"/>
        <v>161.65598867021583</v>
      </c>
      <c r="G272" s="360">
        <f t="shared" si="126"/>
        <v>7700.647737105695</v>
      </c>
      <c r="H272" s="336" t="e">
        <f t="shared" si="141"/>
        <v>#VALUE!</v>
      </c>
      <c r="I272" s="333"/>
      <c r="J272" s="359">
        <f t="shared" si="142"/>
        <v>49187</v>
      </c>
      <c r="K272" s="334">
        <f t="shared" si="127"/>
        <v>260</v>
      </c>
      <c r="L272" s="335">
        <f t="shared" si="128"/>
        <v>227.1751863850151</v>
      </c>
      <c r="M272" s="335"/>
      <c r="N272" s="335">
        <f t="shared" si="143"/>
        <v>65.51919771479926</v>
      </c>
      <c r="O272" s="335">
        <f t="shared" si="151"/>
        <v>161.65598867021583</v>
      </c>
      <c r="P272" s="360">
        <f t="shared" si="129"/>
        <v>7700.647737105695</v>
      </c>
      <c r="R272" s="359">
        <f t="shared" si="144"/>
        <v>49187</v>
      </c>
      <c r="S272" s="334">
        <f t="shared" si="130"/>
        <v>260</v>
      </c>
      <c r="T272" s="335">
        <f t="shared" si="131"/>
        <v>227.1751863850151</v>
      </c>
      <c r="U272" s="335"/>
      <c r="V272" s="335">
        <f t="shared" si="145"/>
        <v>65.51919771479926</v>
      </c>
      <c r="W272" s="335">
        <f t="shared" si="152"/>
        <v>161.65598867021583</v>
      </c>
      <c r="X272" s="360">
        <f t="shared" si="132"/>
        <v>7700.647737105695</v>
      </c>
      <c r="Z272" s="359">
        <f t="shared" si="146"/>
        <v>49187</v>
      </c>
      <c r="AA272" s="334">
        <f t="shared" si="133"/>
        <v>260</v>
      </c>
      <c r="AB272" s="335">
        <f t="shared" si="134"/>
        <v>227.1751863850151</v>
      </c>
      <c r="AC272" s="335"/>
      <c r="AD272" s="335">
        <f t="shared" si="147"/>
        <v>65.51919771479926</v>
      </c>
      <c r="AE272" s="335">
        <f t="shared" si="153"/>
        <v>161.65598867021583</v>
      </c>
      <c r="AF272" s="360">
        <f t="shared" si="135"/>
        <v>7700.647737105695</v>
      </c>
      <c r="AH272" s="359">
        <f t="shared" si="148"/>
        <v>49187</v>
      </c>
      <c r="AI272" s="334">
        <f t="shared" si="136"/>
        <v>260</v>
      </c>
      <c r="AJ272" s="335">
        <f t="shared" si="137"/>
        <v>227.1751863850151</v>
      </c>
      <c r="AK272" s="335"/>
      <c r="AL272" s="335">
        <f t="shared" si="149"/>
        <v>65.51919771479926</v>
      </c>
      <c r="AM272" s="335">
        <f t="shared" si="154"/>
        <v>161.65598867021583</v>
      </c>
      <c r="AN272" s="360">
        <f t="shared" si="138"/>
        <v>7700.647737105695</v>
      </c>
    </row>
    <row r="273" spans="1:40" ht="12.75">
      <c r="A273" s="359">
        <f t="shared" si="139"/>
        <v>49217</v>
      </c>
      <c r="B273" s="334">
        <f t="shared" si="124"/>
        <v>261</v>
      </c>
      <c r="C273" s="335">
        <f t="shared" si="125"/>
        <v>227.1751863850151</v>
      </c>
      <c r="D273" s="335"/>
      <c r="E273" s="335">
        <f t="shared" si="140"/>
        <v>64.17206447588079</v>
      </c>
      <c r="F273" s="335">
        <f t="shared" si="150"/>
        <v>163.00312190913434</v>
      </c>
      <c r="G273" s="360">
        <f t="shared" si="126"/>
        <v>7537.644615196561</v>
      </c>
      <c r="H273" s="336" t="e">
        <f t="shared" si="141"/>
        <v>#VALUE!</v>
      </c>
      <c r="I273" s="333"/>
      <c r="J273" s="359">
        <f t="shared" si="142"/>
        <v>49217</v>
      </c>
      <c r="K273" s="334">
        <f t="shared" si="127"/>
        <v>261</v>
      </c>
      <c r="L273" s="335">
        <f t="shared" si="128"/>
        <v>227.1751863850151</v>
      </c>
      <c r="M273" s="335"/>
      <c r="N273" s="335">
        <f t="shared" si="143"/>
        <v>64.17206447588079</v>
      </c>
      <c r="O273" s="335">
        <f t="shared" si="151"/>
        <v>163.00312190913434</v>
      </c>
      <c r="P273" s="360">
        <f t="shared" si="129"/>
        <v>7537.644615196561</v>
      </c>
      <c r="R273" s="359">
        <f t="shared" si="144"/>
        <v>49217</v>
      </c>
      <c r="S273" s="334">
        <f t="shared" si="130"/>
        <v>261</v>
      </c>
      <c r="T273" s="335">
        <f t="shared" si="131"/>
        <v>227.1751863850151</v>
      </c>
      <c r="U273" s="335"/>
      <c r="V273" s="335">
        <f t="shared" si="145"/>
        <v>64.17206447588079</v>
      </c>
      <c r="W273" s="335">
        <f t="shared" si="152"/>
        <v>163.00312190913434</v>
      </c>
      <c r="X273" s="360">
        <f t="shared" si="132"/>
        <v>7537.644615196561</v>
      </c>
      <c r="Z273" s="359">
        <f t="shared" si="146"/>
        <v>49217</v>
      </c>
      <c r="AA273" s="334">
        <f t="shared" si="133"/>
        <v>261</v>
      </c>
      <c r="AB273" s="335">
        <f t="shared" si="134"/>
        <v>227.1751863850151</v>
      </c>
      <c r="AC273" s="335"/>
      <c r="AD273" s="335">
        <f t="shared" si="147"/>
        <v>64.17206447588079</v>
      </c>
      <c r="AE273" s="335">
        <f t="shared" si="153"/>
        <v>163.00312190913434</v>
      </c>
      <c r="AF273" s="360">
        <f t="shared" si="135"/>
        <v>7537.644615196561</v>
      </c>
      <c r="AH273" s="359">
        <f t="shared" si="148"/>
        <v>49217</v>
      </c>
      <c r="AI273" s="334">
        <f t="shared" si="136"/>
        <v>261</v>
      </c>
      <c r="AJ273" s="335">
        <f t="shared" si="137"/>
        <v>227.1751863850151</v>
      </c>
      <c r="AK273" s="335"/>
      <c r="AL273" s="335">
        <f t="shared" si="149"/>
        <v>64.17206447588079</v>
      </c>
      <c r="AM273" s="335">
        <f t="shared" si="154"/>
        <v>163.00312190913434</v>
      </c>
      <c r="AN273" s="360">
        <f t="shared" si="138"/>
        <v>7537.644615196561</v>
      </c>
    </row>
    <row r="274" spans="1:40" ht="12.75">
      <c r="A274" s="359">
        <f t="shared" si="139"/>
        <v>49248</v>
      </c>
      <c r="B274" s="334">
        <f t="shared" si="124"/>
        <v>262</v>
      </c>
      <c r="C274" s="335">
        <f t="shared" si="125"/>
        <v>227.1751863850151</v>
      </c>
      <c r="D274" s="335"/>
      <c r="E274" s="335">
        <f t="shared" si="140"/>
        <v>62.813705126638006</v>
      </c>
      <c r="F274" s="335">
        <f t="shared" si="150"/>
        <v>164.3614812583771</v>
      </c>
      <c r="G274" s="360">
        <f t="shared" si="126"/>
        <v>7373.283133938184</v>
      </c>
      <c r="H274" s="336" t="e">
        <f t="shared" si="141"/>
        <v>#VALUE!</v>
      </c>
      <c r="I274" s="333"/>
      <c r="J274" s="359">
        <f t="shared" si="142"/>
        <v>49248</v>
      </c>
      <c r="K274" s="334">
        <f t="shared" si="127"/>
        <v>262</v>
      </c>
      <c r="L274" s="335">
        <f t="shared" si="128"/>
        <v>227.1751863850151</v>
      </c>
      <c r="M274" s="335"/>
      <c r="N274" s="335">
        <f t="shared" si="143"/>
        <v>62.813705126638006</v>
      </c>
      <c r="O274" s="335">
        <f t="shared" si="151"/>
        <v>164.3614812583771</v>
      </c>
      <c r="P274" s="360">
        <f t="shared" si="129"/>
        <v>7373.283133938184</v>
      </c>
      <c r="R274" s="359">
        <f t="shared" si="144"/>
        <v>49248</v>
      </c>
      <c r="S274" s="334">
        <f t="shared" si="130"/>
        <v>262</v>
      </c>
      <c r="T274" s="335">
        <f t="shared" si="131"/>
        <v>227.1751863850151</v>
      </c>
      <c r="U274" s="335"/>
      <c r="V274" s="335">
        <f t="shared" si="145"/>
        <v>62.813705126638006</v>
      </c>
      <c r="W274" s="335">
        <f t="shared" si="152"/>
        <v>164.3614812583771</v>
      </c>
      <c r="X274" s="360">
        <f t="shared" si="132"/>
        <v>7373.283133938184</v>
      </c>
      <c r="Z274" s="359">
        <f t="shared" si="146"/>
        <v>49248</v>
      </c>
      <c r="AA274" s="334">
        <f t="shared" si="133"/>
        <v>262</v>
      </c>
      <c r="AB274" s="335">
        <f t="shared" si="134"/>
        <v>227.1751863850151</v>
      </c>
      <c r="AC274" s="335"/>
      <c r="AD274" s="335">
        <f t="shared" si="147"/>
        <v>62.813705126638006</v>
      </c>
      <c r="AE274" s="335">
        <f t="shared" si="153"/>
        <v>164.3614812583771</v>
      </c>
      <c r="AF274" s="360">
        <f t="shared" si="135"/>
        <v>7373.283133938184</v>
      </c>
      <c r="AH274" s="359">
        <f t="shared" si="148"/>
        <v>49248</v>
      </c>
      <c r="AI274" s="334">
        <f t="shared" si="136"/>
        <v>262</v>
      </c>
      <c r="AJ274" s="335">
        <f t="shared" si="137"/>
        <v>227.1751863850151</v>
      </c>
      <c r="AK274" s="335"/>
      <c r="AL274" s="335">
        <f t="shared" si="149"/>
        <v>62.813705126638006</v>
      </c>
      <c r="AM274" s="335">
        <f t="shared" si="154"/>
        <v>164.3614812583771</v>
      </c>
      <c r="AN274" s="360">
        <f t="shared" si="138"/>
        <v>7373.283133938184</v>
      </c>
    </row>
    <row r="275" spans="1:40" ht="12.75">
      <c r="A275" s="359">
        <f t="shared" si="139"/>
        <v>49278</v>
      </c>
      <c r="B275" s="334">
        <f t="shared" si="124"/>
        <v>263</v>
      </c>
      <c r="C275" s="335">
        <f t="shared" si="125"/>
        <v>227.1751863850151</v>
      </c>
      <c r="D275" s="335"/>
      <c r="E275" s="335">
        <f t="shared" si="140"/>
        <v>61.44402611615153</v>
      </c>
      <c r="F275" s="335">
        <f t="shared" si="150"/>
        <v>165.7311602688636</v>
      </c>
      <c r="G275" s="360">
        <f t="shared" si="126"/>
        <v>7207.55197366932</v>
      </c>
      <c r="H275" s="336" t="e">
        <f t="shared" si="141"/>
        <v>#VALUE!</v>
      </c>
      <c r="I275" s="333"/>
      <c r="J275" s="359">
        <f t="shared" si="142"/>
        <v>49278</v>
      </c>
      <c r="K275" s="334">
        <f t="shared" si="127"/>
        <v>263</v>
      </c>
      <c r="L275" s="335">
        <f t="shared" si="128"/>
        <v>227.1751863850151</v>
      </c>
      <c r="M275" s="335"/>
      <c r="N275" s="335">
        <f t="shared" si="143"/>
        <v>61.44402611615153</v>
      </c>
      <c r="O275" s="335">
        <f t="shared" si="151"/>
        <v>165.7311602688636</v>
      </c>
      <c r="P275" s="360">
        <f t="shared" si="129"/>
        <v>7207.55197366932</v>
      </c>
      <c r="R275" s="359">
        <f t="shared" si="144"/>
        <v>49278</v>
      </c>
      <c r="S275" s="334">
        <f t="shared" si="130"/>
        <v>263</v>
      </c>
      <c r="T275" s="335">
        <f t="shared" si="131"/>
        <v>227.1751863850151</v>
      </c>
      <c r="U275" s="335"/>
      <c r="V275" s="335">
        <f t="shared" si="145"/>
        <v>61.44402611615153</v>
      </c>
      <c r="W275" s="335">
        <f t="shared" si="152"/>
        <v>165.7311602688636</v>
      </c>
      <c r="X275" s="360">
        <f t="shared" si="132"/>
        <v>7207.55197366932</v>
      </c>
      <c r="Z275" s="359">
        <f t="shared" si="146"/>
        <v>49278</v>
      </c>
      <c r="AA275" s="334">
        <f t="shared" si="133"/>
        <v>263</v>
      </c>
      <c r="AB275" s="335">
        <f t="shared" si="134"/>
        <v>227.1751863850151</v>
      </c>
      <c r="AC275" s="335"/>
      <c r="AD275" s="335">
        <f t="shared" si="147"/>
        <v>61.44402611615153</v>
      </c>
      <c r="AE275" s="335">
        <f t="shared" si="153"/>
        <v>165.7311602688636</v>
      </c>
      <c r="AF275" s="360">
        <f t="shared" si="135"/>
        <v>7207.55197366932</v>
      </c>
      <c r="AH275" s="359">
        <f t="shared" si="148"/>
        <v>49278</v>
      </c>
      <c r="AI275" s="334">
        <f t="shared" si="136"/>
        <v>263</v>
      </c>
      <c r="AJ275" s="335">
        <f t="shared" si="137"/>
        <v>227.1751863850151</v>
      </c>
      <c r="AK275" s="335"/>
      <c r="AL275" s="335">
        <f t="shared" si="149"/>
        <v>61.44402611615153</v>
      </c>
      <c r="AM275" s="335">
        <f t="shared" si="154"/>
        <v>165.7311602688636</v>
      </c>
      <c r="AN275" s="360">
        <f t="shared" si="138"/>
        <v>7207.55197366932</v>
      </c>
    </row>
    <row r="276" spans="1:40" ht="12.75">
      <c r="A276" s="359">
        <f t="shared" si="139"/>
        <v>49309</v>
      </c>
      <c r="B276" s="334">
        <f t="shared" si="124"/>
        <v>264</v>
      </c>
      <c r="C276" s="335">
        <f t="shared" si="125"/>
        <v>227.1751863850151</v>
      </c>
      <c r="D276" s="335"/>
      <c r="E276" s="335">
        <f t="shared" si="140"/>
        <v>60.062933113911</v>
      </c>
      <c r="F276" s="335">
        <f t="shared" si="150"/>
        <v>167.11225327110412</v>
      </c>
      <c r="G276" s="360">
        <f t="shared" si="126"/>
        <v>7040.439720398216</v>
      </c>
      <c r="H276" s="336" t="e">
        <f t="shared" si="141"/>
        <v>#VALUE!</v>
      </c>
      <c r="I276" s="333"/>
      <c r="J276" s="359">
        <f t="shared" si="142"/>
        <v>49309</v>
      </c>
      <c r="K276" s="334">
        <f t="shared" si="127"/>
        <v>264</v>
      </c>
      <c r="L276" s="335">
        <f t="shared" si="128"/>
        <v>227.1751863850151</v>
      </c>
      <c r="M276" s="335"/>
      <c r="N276" s="335">
        <f t="shared" si="143"/>
        <v>60.062933113911</v>
      </c>
      <c r="O276" s="335">
        <f t="shared" si="151"/>
        <v>167.11225327110412</v>
      </c>
      <c r="P276" s="360">
        <f t="shared" si="129"/>
        <v>7040.439720398216</v>
      </c>
      <c r="R276" s="359">
        <f t="shared" si="144"/>
        <v>49309</v>
      </c>
      <c r="S276" s="334">
        <f t="shared" si="130"/>
        <v>264</v>
      </c>
      <c r="T276" s="335">
        <f t="shared" si="131"/>
        <v>227.1751863850151</v>
      </c>
      <c r="U276" s="335"/>
      <c r="V276" s="335">
        <f t="shared" si="145"/>
        <v>60.062933113911</v>
      </c>
      <c r="W276" s="335">
        <f t="shared" si="152"/>
        <v>167.11225327110412</v>
      </c>
      <c r="X276" s="360">
        <f t="shared" si="132"/>
        <v>7040.439720398216</v>
      </c>
      <c r="Z276" s="359">
        <f t="shared" si="146"/>
        <v>49309</v>
      </c>
      <c r="AA276" s="334">
        <f t="shared" si="133"/>
        <v>264</v>
      </c>
      <c r="AB276" s="335">
        <f t="shared" si="134"/>
        <v>227.1751863850151</v>
      </c>
      <c r="AC276" s="335"/>
      <c r="AD276" s="335">
        <f t="shared" si="147"/>
        <v>60.062933113911</v>
      </c>
      <c r="AE276" s="335">
        <f t="shared" si="153"/>
        <v>167.11225327110412</v>
      </c>
      <c r="AF276" s="360">
        <f t="shared" si="135"/>
        <v>7040.439720398216</v>
      </c>
      <c r="AH276" s="359">
        <f t="shared" si="148"/>
        <v>49309</v>
      </c>
      <c r="AI276" s="334">
        <f t="shared" si="136"/>
        <v>264</v>
      </c>
      <c r="AJ276" s="335">
        <f t="shared" si="137"/>
        <v>227.1751863850151</v>
      </c>
      <c r="AK276" s="335"/>
      <c r="AL276" s="335">
        <f t="shared" si="149"/>
        <v>60.062933113911</v>
      </c>
      <c r="AM276" s="335">
        <f t="shared" si="154"/>
        <v>167.11225327110412</v>
      </c>
      <c r="AN276" s="360">
        <f t="shared" si="138"/>
        <v>7040.439720398216</v>
      </c>
    </row>
    <row r="277" spans="1:40" ht="12.75">
      <c r="A277" s="359">
        <f t="shared" si="139"/>
        <v>49340</v>
      </c>
      <c r="B277" s="334">
        <f t="shared" si="124"/>
        <v>265</v>
      </c>
      <c r="C277" s="335">
        <f t="shared" si="125"/>
        <v>227.1751863850151</v>
      </c>
      <c r="D277" s="335"/>
      <c r="E277" s="335">
        <f t="shared" si="140"/>
        <v>58.670331003318466</v>
      </c>
      <c r="F277" s="335">
        <f t="shared" si="150"/>
        <v>168.50485538169664</v>
      </c>
      <c r="G277" s="360">
        <f t="shared" si="126"/>
        <v>6871.934865016519</v>
      </c>
      <c r="H277" s="336" t="e">
        <f t="shared" si="141"/>
        <v>#VALUE!</v>
      </c>
      <c r="I277" s="333"/>
      <c r="J277" s="359">
        <f t="shared" si="142"/>
        <v>49340</v>
      </c>
      <c r="K277" s="334">
        <f t="shared" si="127"/>
        <v>265</v>
      </c>
      <c r="L277" s="335">
        <f t="shared" si="128"/>
        <v>227.1751863850151</v>
      </c>
      <c r="M277" s="335"/>
      <c r="N277" s="335">
        <f t="shared" si="143"/>
        <v>58.670331003318466</v>
      </c>
      <c r="O277" s="335">
        <f t="shared" si="151"/>
        <v>168.50485538169664</v>
      </c>
      <c r="P277" s="360">
        <f t="shared" si="129"/>
        <v>6871.934865016519</v>
      </c>
      <c r="R277" s="359">
        <f t="shared" si="144"/>
        <v>49340</v>
      </c>
      <c r="S277" s="334">
        <f t="shared" si="130"/>
        <v>265</v>
      </c>
      <c r="T277" s="335">
        <f t="shared" si="131"/>
        <v>227.1751863850151</v>
      </c>
      <c r="U277" s="335"/>
      <c r="V277" s="335">
        <f t="shared" si="145"/>
        <v>58.670331003318466</v>
      </c>
      <c r="W277" s="335">
        <f t="shared" si="152"/>
        <v>168.50485538169664</v>
      </c>
      <c r="X277" s="360">
        <f t="shared" si="132"/>
        <v>6871.934865016519</v>
      </c>
      <c r="Z277" s="359">
        <f t="shared" si="146"/>
        <v>49340</v>
      </c>
      <c r="AA277" s="334">
        <f t="shared" si="133"/>
        <v>265</v>
      </c>
      <c r="AB277" s="335">
        <f t="shared" si="134"/>
        <v>227.1751863850151</v>
      </c>
      <c r="AC277" s="335"/>
      <c r="AD277" s="335">
        <f t="shared" si="147"/>
        <v>58.670331003318466</v>
      </c>
      <c r="AE277" s="335">
        <f t="shared" si="153"/>
        <v>168.50485538169664</v>
      </c>
      <c r="AF277" s="360">
        <f t="shared" si="135"/>
        <v>6871.934865016519</v>
      </c>
      <c r="AH277" s="359">
        <f t="shared" si="148"/>
        <v>49340</v>
      </c>
      <c r="AI277" s="334">
        <f t="shared" si="136"/>
        <v>265</v>
      </c>
      <c r="AJ277" s="335">
        <f t="shared" si="137"/>
        <v>227.1751863850151</v>
      </c>
      <c r="AK277" s="335"/>
      <c r="AL277" s="335">
        <f t="shared" si="149"/>
        <v>58.670331003318466</v>
      </c>
      <c r="AM277" s="335">
        <f t="shared" si="154"/>
        <v>168.50485538169664</v>
      </c>
      <c r="AN277" s="360">
        <f t="shared" si="138"/>
        <v>6871.934865016519</v>
      </c>
    </row>
    <row r="278" spans="1:40" ht="12.75">
      <c r="A278" s="359">
        <f t="shared" si="139"/>
        <v>49368</v>
      </c>
      <c r="B278" s="334">
        <f t="shared" si="124"/>
        <v>266</v>
      </c>
      <c r="C278" s="335">
        <f t="shared" si="125"/>
        <v>227.1751863850151</v>
      </c>
      <c r="D278" s="335"/>
      <c r="E278" s="335">
        <f t="shared" si="140"/>
        <v>57.26612387513766</v>
      </c>
      <c r="F278" s="335">
        <f t="shared" si="150"/>
        <v>169.90906250987746</v>
      </c>
      <c r="G278" s="360">
        <f t="shared" si="126"/>
        <v>6702.025802506641</v>
      </c>
      <c r="H278" s="336" t="e">
        <f t="shared" si="141"/>
        <v>#VALUE!</v>
      </c>
      <c r="I278" s="333"/>
      <c r="J278" s="359">
        <f t="shared" si="142"/>
        <v>49368</v>
      </c>
      <c r="K278" s="334">
        <f t="shared" si="127"/>
        <v>266</v>
      </c>
      <c r="L278" s="335">
        <f t="shared" si="128"/>
        <v>227.1751863850151</v>
      </c>
      <c r="M278" s="335"/>
      <c r="N278" s="335">
        <f t="shared" si="143"/>
        <v>57.26612387513766</v>
      </c>
      <c r="O278" s="335">
        <f t="shared" si="151"/>
        <v>169.90906250987746</v>
      </c>
      <c r="P278" s="360">
        <f t="shared" si="129"/>
        <v>6702.025802506641</v>
      </c>
      <c r="R278" s="359">
        <f t="shared" si="144"/>
        <v>49368</v>
      </c>
      <c r="S278" s="334">
        <f t="shared" si="130"/>
        <v>266</v>
      </c>
      <c r="T278" s="335">
        <f t="shared" si="131"/>
        <v>227.1751863850151</v>
      </c>
      <c r="U278" s="335"/>
      <c r="V278" s="335">
        <f t="shared" si="145"/>
        <v>57.26612387513766</v>
      </c>
      <c r="W278" s="335">
        <f t="shared" si="152"/>
        <v>169.90906250987746</v>
      </c>
      <c r="X278" s="360">
        <f t="shared" si="132"/>
        <v>6702.025802506641</v>
      </c>
      <c r="Z278" s="359">
        <f t="shared" si="146"/>
        <v>49368</v>
      </c>
      <c r="AA278" s="334">
        <f t="shared" si="133"/>
        <v>266</v>
      </c>
      <c r="AB278" s="335">
        <f t="shared" si="134"/>
        <v>227.1751863850151</v>
      </c>
      <c r="AC278" s="335"/>
      <c r="AD278" s="335">
        <f t="shared" si="147"/>
        <v>57.26612387513766</v>
      </c>
      <c r="AE278" s="335">
        <f t="shared" si="153"/>
        <v>169.90906250987746</v>
      </c>
      <c r="AF278" s="360">
        <f t="shared" si="135"/>
        <v>6702.025802506641</v>
      </c>
      <c r="AH278" s="359">
        <f t="shared" si="148"/>
        <v>49368</v>
      </c>
      <c r="AI278" s="334">
        <f t="shared" si="136"/>
        <v>266</v>
      </c>
      <c r="AJ278" s="335">
        <f t="shared" si="137"/>
        <v>227.1751863850151</v>
      </c>
      <c r="AK278" s="335"/>
      <c r="AL278" s="335">
        <f t="shared" si="149"/>
        <v>57.26612387513766</v>
      </c>
      <c r="AM278" s="335">
        <f t="shared" si="154"/>
        <v>169.90906250987746</v>
      </c>
      <c r="AN278" s="360">
        <f t="shared" si="138"/>
        <v>6702.025802506641</v>
      </c>
    </row>
    <row r="279" spans="1:40" ht="12.75">
      <c r="A279" s="359">
        <f t="shared" si="139"/>
        <v>49399</v>
      </c>
      <c r="B279" s="334">
        <f t="shared" si="124"/>
        <v>267</v>
      </c>
      <c r="C279" s="335">
        <f t="shared" si="125"/>
        <v>227.1751863850151</v>
      </c>
      <c r="D279" s="335"/>
      <c r="E279" s="335">
        <f t="shared" si="140"/>
        <v>55.850215020888676</v>
      </c>
      <c r="F279" s="335">
        <f t="shared" si="150"/>
        <v>171.32497136412644</v>
      </c>
      <c r="G279" s="360">
        <f t="shared" si="126"/>
        <v>6530.700831142515</v>
      </c>
      <c r="H279" s="336" t="e">
        <f t="shared" si="141"/>
        <v>#VALUE!</v>
      </c>
      <c r="I279" s="333"/>
      <c r="J279" s="359">
        <f t="shared" si="142"/>
        <v>49399</v>
      </c>
      <c r="K279" s="334">
        <f t="shared" si="127"/>
        <v>267</v>
      </c>
      <c r="L279" s="335">
        <f t="shared" si="128"/>
        <v>227.1751863850151</v>
      </c>
      <c r="M279" s="335"/>
      <c r="N279" s="335">
        <f t="shared" si="143"/>
        <v>55.850215020888676</v>
      </c>
      <c r="O279" s="335">
        <f t="shared" si="151"/>
        <v>171.32497136412644</v>
      </c>
      <c r="P279" s="360">
        <f t="shared" si="129"/>
        <v>6530.700831142515</v>
      </c>
      <c r="R279" s="359">
        <f t="shared" si="144"/>
        <v>49399</v>
      </c>
      <c r="S279" s="334">
        <f t="shared" si="130"/>
        <v>267</v>
      </c>
      <c r="T279" s="335">
        <f t="shared" si="131"/>
        <v>227.1751863850151</v>
      </c>
      <c r="U279" s="335"/>
      <c r="V279" s="335">
        <f t="shared" si="145"/>
        <v>55.850215020888676</v>
      </c>
      <c r="W279" s="335">
        <f t="shared" si="152"/>
        <v>171.32497136412644</v>
      </c>
      <c r="X279" s="360">
        <f t="shared" si="132"/>
        <v>6530.700831142515</v>
      </c>
      <c r="Z279" s="359">
        <f t="shared" si="146"/>
        <v>49399</v>
      </c>
      <c r="AA279" s="334">
        <f t="shared" si="133"/>
        <v>267</v>
      </c>
      <c r="AB279" s="335">
        <f t="shared" si="134"/>
        <v>227.1751863850151</v>
      </c>
      <c r="AC279" s="335"/>
      <c r="AD279" s="335">
        <f t="shared" si="147"/>
        <v>55.850215020888676</v>
      </c>
      <c r="AE279" s="335">
        <f t="shared" si="153"/>
        <v>171.32497136412644</v>
      </c>
      <c r="AF279" s="360">
        <f t="shared" si="135"/>
        <v>6530.700831142515</v>
      </c>
      <c r="AH279" s="359">
        <f t="shared" si="148"/>
        <v>49399</v>
      </c>
      <c r="AI279" s="334">
        <f t="shared" si="136"/>
        <v>267</v>
      </c>
      <c r="AJ279" s="335">
        <f t="shared" si="137"/>
        <v>227.1751863850151</v>
      </c>
      <c r="AK279" s="335"/>
      <c r="AL279" s="335">
        <f t="shared" si="149"/>
        <v>55.850215020888676</v>
      </c>
      <c r="AM279" s="335">
        <f t="shared" si="154"/>
        <v>171.32497136412644</v>
      </c>
      <c r="AN279" s="360">
        <f t="shared" si="138"/>
        <v>6530.700831142515</v>
      </c>
    </row>
    <row r="280" spans="1:40" ht="12.75">
      <c r="A280" s="359">
        <f t="shared" si="139"/>
        <v>49429</v>
      </c>
      <c r="B280" s="334">
        <f t="shared" si="124"/>
        <v>268</v>
      </c>
      <c r="C280" s="335">
        <f t="shared" si="125"/>
        <v>227.1751863850151</v>
      </c>
      <c r="D280" s="335"/>
      <c r="E280" s="335">
        <f t="shared" si="140"/>
        <v>54.42250692618762</v>
      </c>
      <c r="F280" s="335">
        <f t="shared" si="150"/>
        <v>172.7526794588275</v>
      </c>
      <c r="G280" s="360">
        <f t="shared" si="126"/>
        <v>6357.948151683688</v>
      </c>
      <c r="H280" s="336" t="e">
        <f t="shared" si="141"/>
        <v>#VALUE!</v>
      </c>
      <c r="I280" s="333"/>
      <c r="J280" s="359">
        <f t="shared" si="142"/>
        <v>49429</v>
      </c>
      <c r="K280" s="334">
        <f t="shared" si="127"/>
        <v>268</v>
      </c>
      <c r="L280" s="335">
        <f t="shared" si="128"/>
        <v>227.1751863850151</v>
      </c>
      <c r="M280" s="335"/>
      <c r="N280" s="335">
        <f t="shared" si="143"/>
        <v>54.42250692618762</v>
      </c>
      <c r="O280" s="335">
        <f t="shared" si="151"/>
        <v>172.7526794588275</v>
      </c>
      <c r="P280" s="360">
        <f t="shared" si="129"/>
        <v>6357.948151683688</v>
      </c>
      <c r="R280" s="359">
        <f t="shared" si="144"/>
        <v>49429</v>
      </c>
      <c r="S280" s="334">
        <f t="shared" si="130"/>
        <v>268</v>
      </c>
      <c r="T280" s="335">
        <f t="shared" si="131"/>
        <v>227.1751863850151</v>
      </c>
      <c r="U280" s="335"/>
      <c r="V280" s="335">
        <f t="shared" si="145"/>
        <v>54.42250692618762</v>
      </c>
      <c r="W280" s="335">
        <f t="shared" si="152"/>
        <v>172.7526794588275</v>
      </c>
      <c r="X280" s="360">
        <f t="shared" si="132"/>
        <v>6357.948151683688</v>
      </c>
      <c r="Z280" s="359">
        <f t="shared" si="146"/>
        <v>49429</v>
      </c>
      <c r="AA280" s="334">
        <f t="shared" si="133"/>
        <v>268</v>
      </c>
      <c r="AB280" s="335">
        <f t="shared" si="134"/>
        <v>227.1751863850151</v>
      </c>
      <c r="AC280" s="335"/>
      <c r="AD280" s="335">
        <f t="shared" si="147"/>
        <v>54.42250692618762</v>
      </c>
      <c r="AE280" s="335">
        <f t="shared" si="153"/>
        <v>172.7526794588275</v>
      </c>
      <c r="AF280" s="360">
        <f t="shared" si="135"/>
        <v>6357.948151683688</v>
      </c>
      <c r="AH280" s="359">
        <f t="shared" si="148"/>
        <v>49429</v>
      </c>
      <c r="AI280" s="334">
        <f t="shared" si="136"/>
        <v>268</v>
      </c>
      <c r="AJ280" s="335">
        <f t="shared" si="137"/>
        <v>227.1751863850151</v>
      </c>
      <c r="AK280" s="335"/>
      <c r="AL280" s="335">
        <f t="shared" si="149"/>
        <v>54.42250692618762</v>
      </c>
      <c r="AM280" s="335">
        <f t="shared" si="154"/>
        <v>172.7526794588275</v>
      </c>
      <c r="AN280" s="360">
        <f t="shared" si="138"/>
        <v>6357.948151683688</v>
      </c>
    </row>
    <row r="281" spans="1:40" ht="12.75">
      <c r="A281" s="359">
        <f t="shared" si="139"/>
        <v>49460</v>
      </c>
      <c r="B281" s="334">
        <f t="shared" si="124"/>
        <v>269</v>
      </c>
      <c r="C281" s="335">
        <f t="shared" si="125"/>
        <v>227.1751863850151</v>
      </c>
      <c r="D281" s="335"/>
      <c r="E281" s="335">
        <f t="shared" si="140"/>
        <v>52.98290126403073</v>
      </c>
      <c r="F281" s="335">
        <f t="shared" si="150"/>
        <v>174.19228512098437</v>
      </c>
      <c r="G281" s="360">
        <f t="shared" si="126"/>
        <v>6183.755866562703</v>
      </c>
      <c r="H281" s="336" t="e">
        <f t="shared" si="141"/>
        <v>#VALUE!</v>
      </c>
      <c r="I281" s="333"/>
      <c r="J281" s="359">
        <f t="shared" si="142"/>
        <v>49460</v>
      </c>
      <c r="K281" s="334">
        <f t="shared" si="127"/>
        <v>269</v>
      </c>
      <c r="L281" s="335">
        <f t="shared" si="128"/>
        <v>227.1751863850151</v>
      </c>
      <c r="M281" s="335"/>
      <c r="N281" s="335">
        <f t="shared" si="143"/>
        <v>52.98290126403073</v>
      </c>
      <c r="O281" s="335">
        <f t="shared" si="151"/>
        <v>174.19228512098437</v>
      </c>
      <c r="P281" s="360">
        <f t="shared" si="129"/>
        <v>6183.755866562703</v>
      </c>
      <c r="R281" s="359">
        <f t="shared" si="144"/>
        <v>49460</v>
      </c>
      <c r="S281" s="334">
        <f t="shared" si="130"/>
        <v>269</v>
      </c>
      <c r="T281" s="335">
        <f t="shared" si="131"/>
        <v>227.1751863850151</v>
      </c>
      <c r="U281" s="335"/>
      <c r="V281" s="335">
        <f t="shared" si="145"/>
        <v>52.98290126403073</v>
      </c>
      <c r="W281" s="335">
        <f t="shared" si="152"/>
        <v>174.19228512098437</v>
      </c>
      <c r="X281" s="360">
        <f t="shared" si="132"/>
        <v>6183.755866562703</v>
      </c>
      <c r="Z281" s="359">
        <f t="shared" si="146"/>
        <v>49460</v>
      </c>
      <c r="AA281" s="334">
        <f t="shared" si="133"/>
        <v>269</v>
      </c>
      <c r="AB281" s="335">
        <f t="shared" si="134"/>
        <v>227.1751863850151</v>
      </c>
      <c r="AC281" s="335"/>
      <c r="AD281" s="335">
        <f t="shared" si="147"/>
        <v>52.98290126403073</v>
      </c>
      <c r="AE281" s="335">
        <f t="shared" si="153"/>
        <v>174.19228512098437</v>
      </c>
      <c r="AF281" s="360">
        <f t="shared" si="135"/>
        <v>6183.755866562703</v>
      </c>
      <c r="AH281" s="359">
        <f t="shared" si="148"/>
        <v>49460</v>
      </c>
      <c r="AI281" s="334">
        <f t="shared" si="136"/>
        <v>269</v>
      </c>
      <c r="AJ281" s="335">
        <f t="shared" si="137"/>
        <v>227.1751863850151</v>
      </c>
      <c r="AK281" s="335"/>
      <c r="AL281" s="335">
        <f t="shared" si="149"/>
        <v>52.98290126403073</v>
      </c>
      <c r="AM281" s="335">
        <f t="shared" si="154"/>
        <v>174.19228512098437</v>
      </c>
      <c r="AN281" s="360">
        <f t="shared" si="138"/>
        <v>6183.755866562703</v>
      </c>
    </row>
    <row r="282" spans="1:40" ht="12.75">
      <c r="A282" s="359">
        <f t="shared" si="139"/>
        <v>49490</v>
      </c>
      <c r="B282" s="334">
        <f t="shared" si="124"/>
        <v>270</v>
      </c>
      <c r="C282" s="335">
        <f t="shared" si="125"/>
        <v>227.1751863850151</v>
      </c>
      <c r="D282" s="335"/>
      <c r="E282" s="335">
        <f t="shared" si="140"/>
        <v>51.531298888022526</v>
      </c>
      <c r="F282" s="335">
        <f t="shared" si="150"/>
        <v>175.6438874969926</v>
      </c>
      <c r="G282" s="360">
        <f t="shared" si="126"/>
        <v>6008.11197906571</v>
      </c>
      <c r="H282" s="336" t="e">
        <f t="shared" si="141"/>
        <v>#VALUE!</v>
      </c>
      <c r="I282" s="333"/>
      <c r="J282" s="359">
        <f t="shared" si="142"/>
        <v>49490</v>
      </c>
      <c r="K282" s="334">
        <f t="shared" si="127"/>
        <v>270</v>
      </c>
      <c r="L282" s="335">
        <f t="shared" si="128"/>
        <v>227.1751863850151</v>
      </c>
      <c r="M282" s="335"/>
      <c r="N282" s="335">
        <f t="shared" si="143"/>
        <v>51.531298888022526</v>
      </c>
      <c r="O282" s="335">
        <f t="shared" si="151"/>
        <v>175.6438874969926</v>
      </c>
      <c r="P282" s="360">
        <f t="shared" si="129"/>
        <v>6008.11197906571</v>
      </c>
      <c r="R282" s="359">
        <f t="shared" si="144"/>
        <v>49490</v>
      </c>
      <c r="S282" s="334">
        <f t="shared" si="130"/>
        <v>270</v>
      </c>
      <c r="T282" s="335">
        <f t="shared" si="131"/>
        <v>227.1751863850151</v>
      </c>
      <c r="U282" s="335"/>
      <c r="V282" s="335">
        <f t="shared" si="145"/>
        <v>51.531298888022526</v>
      </c>
      <c r="W282" s="335">
        <f t="shared" si="152"/>
        <v>175.6438874969926</v>
      </c>
      <c r="X282" s="360">
        <f t="shared" si="132"/>
        <v>6008.11197906571</v>
      </c>
      <c r="Z282" s="359">
        <f t="shared" si="146"/>
        <v>49490</v>
      </c>
      <c r="AA282" s="334">
        <f t="shared" si="133"/>
        <v>270</v>
      </c>
      <c r="AB282" s="335">
        <f t="shared" si="134"/>
        <v>227.1751863850151</v>
      </c>
      <c r="AC282" s="335"/>
      <c r="AD282" s="335">
        <f t="shared" si="147"/>
        <v>51.531298888022526</v>
      </c>
      <c r="AE282" s="335">
        <f t="shared" si="153"/>
        <v>175.6438874969926</v>
      </c>
      <c r="AF282" s="360">
        <f t="shared" si="135"/>
        <v>6008.11197906571</v>
      </c>
      <c r="AH282" s="359">
        <f t="shared" si="148"/>
        <v>49490</v>
      </c>
      <c r="AI282" s="334">
        <f t="shared" si="136"/>
        <v>270</v>
      </c>
      <c r="AJ282" s="335">
        <f t="shared" si="137"/>
        <v>227.1751863850151</v>
      </c>
      <c r="AK282" s="335"/>
      <c r="AL282" s="335">
        <f t="shared" si="149"/>
        <v>51.531298888022526</v>
      </c>
      <c r="AM282" s="335">
        <f t="shared" si="154"/>
        <v>175.6438874969926</v>
      </c>
      <c r="AN282" s="360">
        <f t="shared" si="138"/>
        <v>6008.11197906571</v>
      </c>
    </row>
    <row r="283" spans="1:40" ht="12.75">
      <c r="A283" s="359">
        <f t="shared" si="139"/>
        <v>49521</v>
      </c>
      <c r="B283" s="334">
        <f t="shared" si="124"/>
        <v>271</v>
      </c>
      <c r="C283" s="335">
        <f t="shared" si="125"/>
        <v>227.1751863850151</v>
      </c>
      <c r="D283" s="335"/>
      <c r="E283" s="335">
        <f t="shared" si="140"/>
        <v>50.06759982554759</v>
      </c>
      <c r="F283" s="335">
        <f t="shared" si="150"/>
        <v>177.1075865594675</v>
      </c>
      <c r="G283" s="360">
        <f t="shared" si="126"/>
        <v>5831.004392506243</v>
      </c>
      <c r="H283" s="336" t="e">
        <f t="shared" si="141"/>
        <v>#VALUE!</v>
      </c>
      <c r="I283" s="333"/>
      <c r="J283" s="359">
        <f t="shared" si="142"/>
        <v>49521</v>
      </c>
      <c r="K283" s="334">
        <f t="shared" si="127"/>
        <v>271</v>
      </c>
      <c r="L283" s="335">
        <f t="shared" si="128"/>
        <v>227.1751863850151</v>
      </c>
      <c r="M283" s="335"/>
      <c r="N283" s="335">
        <f t="shared" si="143"/>
        <v>50.06759982554759</v>
      </c>
      <c r="O283" s="335">
        <f t="shared" si="151"/>
        <v>177.1075865594675</v>
      </c>
      <c r="P283" s="360">
        <f t="shared" si="129"/>
        <v>5831.004392506243</v>
      </c>
      <c r="R283" s="359">
        <f t="shared" si="144"/>
        <v>49521</v>
      </c>
      <c r="S283" s="334">
        <f t="shared" si="130"/>
        <v>271</v>
      </c>
      <c r="T283" s="335">
        <f t="shared" si="131"/>
        <v>227.1751863850151</v>
      </c>
      <c r="U283" s="335"/>
      <c r="V283" s="335">
        <f t="shared" si="145"/>
        <v>50.06759982554759</v>
      </c>
      <c r="W283" s="335">
        <f t="shared" si="152"/>
        <v>177.1075865594675</v>
      </c>
      <c r="X283" s="360">
        <f t="shared" si="132"/>
        <v>5831.004392506243</v>
      </c>
      <c r="Z283" s="359">
        <f t="shared" si="146"/>
        <v>49521</v>
      </c>
      <c r="AA283" s="334">
        <f t="shared" si="133"/>
        <v>271</v>
      </c>
      <c r="AB283" s="335">
        <f t="shared" si="134"/>
        <v>227.1751863850151</v>
      </c>
      <c r="AC283" s="335"/>
      <c r="AD283" s="335">
        <f t="shared" si="147"/>
        <v>50.06759982554759</v>
      </c>
      <c r="AE283" s="335">
        <f t="shared" si="153"/>
        <v>177.1075865594675</v>
      </c>
      <c r="AF283" s="360">
        <f t="shared" si="135"/>
        <v>5831.004392506243</v>
      </c>
      <c r="AH283" s="359">
        <f t="shared" si="148"/>
        <v>49521</v>
      </c>
      <c r="AI283" s="334">
        <f t="shared" si="136"/>
        <v>271</v>
      </c>
      <c r="AJ283" s="335">
        <f t="shared" si="137"/>
        <v>227.1751863850151</v>
      </c>
      <c r="AK283" s="335"/>
      <c r="AL283" s="335">
        <f t="shared" si="149"/>
        <v>50.06759982554759</v>
      </c>
      <c r="AM283" s="335">
        <f t="shared" si="154"/>
        <v>177.1075865594675</v>
      </c>
      <c r="AN283" s="360">
        <f t="shared" si="138"/>
        <v>5831.004392506243</v>
      </c>
    </row>
    <row r="284" spans="1:40" ht="12.75">
      <c r="A284" s="359">
        <f t="shared" si="139"/>
        <v>49552</v>
      </c>
      <c r="B284" s="334">
        <f t="shared" si="124"/>
        <v>272</v>
      </c>
      <c r="C284" s="335">
        <f t="shared" si="125"/>
        <v>227.1751863850151</v>
      </c>
      <c r="D284" s="335"/>
      <c r="E284" s="335">
        <f t="shared" si="140"/>
        <v>48.591703270885354</v>
      </c>
      <c r="F284" s="335">
        <f t="shared" si="150"/>
        <v>178.58348311412976</v>
      </c>
      <c r="G284" s="360">
        <f t="shared" si="126"/>
        <v>5652.420909392113</v>
      </c>
      <c r="H284" s="336" t="e">
        <f t="shared" si="141"/>
        <v>#VALUE!</v>
      </c>
      <c r="I284" s="333"/>
      <c r="J284" s="359">
        <f t="shared" si="142"/>
        <v>49552</v>
      </c>
      <c r="K284" s="334">
        <f t="shared" si="127"/>
        <v>272</v>
      </c>
      <c r="L284" s="335">
        <f t="shared" si="128"/>
        <v>227.1751863850151</v>
      </c>
      <c r="M284" s="335"/>
      <c r="N284" s="335">
        <f t="shared" si="143"/>
        <v>48.591703270885354</v>
      </c>
      <c r="O284" s="335">
        <f t="shared" si="151"/>
        <v>178.58348311412976</v>
      </c>
      <c r="P284" s="360">
        <f t="shared" si="129"/>
        <v>5652.420909392113</v>
      </c>
      <c r="R284" s="359">
        <f t="shared" si="144"/>
        <v>49552</v>
      </c>
      <c r="S284" s="334">
        <f t="shared" si="130"/>
        <v>272</v>
      </c>
      <c r="T284" s="335">
        <f t="shared" si="131"/>
        <v>227.1751863850151</v>
      </c>
      <c r="U284" s="335"/>
      <c r="V284" s="335">
        <f t="shared" si="145"/>
        <v>48.591703270885354</v>
      </c>
      <c r="W284" s="335">
        <f t="shared" si="152"/>
        <v>178.58348311412976</v>
      </c>
      <c r="X284" s="360">
        <f t="shared" si="132"/>
        <v>5652.420909392113</v>
      </c>
      <c r="Z284" s="359">
        <f t="shared" si="146"/>
        <v>49552</v>
      </c>
      <c r="AA284" s="334">
        <f t="shared" si="133"/>
        <v>272</v>
      </c>
      <c r="AB284" s="335">
        <f t="shared" si="134"/>
        <v>227.1751863850151</v>
      </c>
      <c r="AC284" s="335"/>
      <c r="AD284" s="335">
        <f t="shared" si="147"/>
        <v>48.591703270885354</v>
      </c>
      <c r="AE284" s="335">
        <f t="shared" si="153"/>
        <v>178.58348311412976</v>
      </c>
      <c r="AF284" s="360">
        <f t="shared" si="135"/>
        <v>5652.420909392113</v>
      </c>
      <c r="AH284" s="359">
        <f t="shared" si="148"/>
        <v>49552</v>
      </c>
      <c r="AI284" s="334">
        <f t="shared" si="136"/>
        <v>272</v>
      </c>
      <c r="AJ284" s="335">
        <f t="shared" si="137"/>
        <v>227.1751863850151</v>
      </c>
      <c r="AK284" s="335"/>
      <c r="AL284" s="335">
        <f t="shared" si="149"/>
        <v>48.591703270885354</v>
      </c>
      <c r="AM284" s="335">
        <f t="shared" si="154"/>
        <v>178.58348311412976</v>
      </c>
      <c r="AN284" s="360">
        <f t="shared" si="138"/>
        <v>5652.420909392113</v>
      </c>
    </row>
    <row r="285" spans="1:40" ht="12.75">
      <c r="A285" s="359">
        <f t="shared" si="139"/>
        <v>49582</v>
      </c>
      <c r="B285" s="334">
        <f t="shared" si="124"/>
        <v>273</v>
      </c>
      <c r="C285" s="335">
        <f t="shared" si="125"/>
        <v>227.1751863850151</v>
      </c>
      <c r="D285" s="335"/>
      <c r="E285" s="335">
        <f t="shared" si="140"/>
        <v>47.1035075782676</v>
      </c>
      <c r="F285" s="335">
        <f t="shared" si="150"/>
        <v>180.0716788067475</v>
      </c>
      <c r="G285" s="360">
        <f t="shared" si="126"/>
        <v>5472.349230585365</v>
      </c>
      <c r="H285" s="336" t="e">
        <f t="shared" si="141"/>
        <v>#VALUE!</v>
      </c>
      <c r="I285" s="333"/>
      <c r="J285" s="359">
        <f t="shared" si="142"/>
        <v>49582</v>
      </c>
      <c r="K285" s="334">
        <f t="shared" si="127"/>
        <v>273</v>
      </c>
      <c r="L285" s="335">
        <f t="shared" si="128"/>
        <v>227.1751863850151</v>
      </c>
      <c r="M285" s="335"/>
      <c r="N285" s="335">
        <f t="shared" si="143"/>
        <v>47.1035075782676</v>
      </c>
      <c r="O285" s="335">
        <f t="shared" si="151"/>
        <v>180.0716788067475</v>
      </c>
      <c r="P285" s="360">
        <f t="shared" si="129"/>
        <v>5472.349230585365</v>
      </c>
      <c r="R285" s="359">
        <f t="shared" si="144"/>
        <v>49582</v>
      </c>
      <c r="S285" s="334">
        <f t="shared" si="130"/>
        <v>273</v>
      </c>
      <c r="T285" s="335">
        <f t="shared" si="131"/>
        <v>227.1751863850151</v>
      </c>
      <c r="U285" s="335"/>
      <c r="V285" s="335">
        <f t="shared" si="145"/>
        <v>47.1035075782676</v>
      </c>
      <c r="W285" s="335">
        <f t="shared" si="152"/>
        <v>180.0716788067475</v>
      </c>
      <c r="X285" s="360">
        <f t="shared" si="132"/>
        <v>5472.349230585365</v>
      </c>
      <c r="Z285" s="359">
        <f t="shared" si="146"/>
        <v>49582</v>
      </c>
      <c r="AA285" s="334">
        <f t="shared" si="133"/>
        <v>273</v>
      </c>
      <c r="AB285" s="335">
        <f t="shared" si="134"/>
        <v>227.1751863850151</v>
      </c>
      <c r="AC285" s="335"/>
      <c r="AD285" s="335">
        <f t="shared" si="147"/>
        <v>47.1035075782676</v>
      </c>
      <c r="AE285" s="335">
        <f t="shared" si="153"/>
        <v>180.0716788067475</v>
      </c>
      <c r="AF285" s="360">
        <f t="shared" si="135"/>
        <v>5472.349230585365</v>
      </c>
      <c r="AH285" s="359">
        <f t="shared" si="148"/>
        <v>49582</v>
      </c>
      <c r="AI285" s="334">
        <f t="shared" si="136"/>
        <v>273</v>
      </c>
      <c r="AJ285" s="335">
        <f t="shared" si="137"/>
        <v>227.1751863850151</v>
      </c>
      <c r="AK285" s="335"/>
      <c r="AL285" s="335">
        <f t="shared" si="149"/>
        <v>47.1035075782676</v>
      </c>
      <c r="AM285" s="335">
        <f t="shared" si="154"/>
        <v>180.0716788067475</v>
      </c>
      <c r="AN285" s="360">
        <f t="shared" si="138"/>
        <v>5472.349230585365</v>
      </c>
    </row>
    <row r="286" spans="1:40" ht="12.75">
      <c r="A286" s="359">
        <f t="shared" si="139"/>
        <v>49613</v>
      </c>
      <c r="B286" s="334">
        <f t="shared" si="124"/>
        <v>274</v>
      </c>
      <c r="C286" s="335">
        <f t="shared" si="125"/>
        <v>227.1751863850151</v>
      </c>
      <c r="D286" s="335"/>
      <c r="E286" s="335">
        <f t="shared" si="140"/>
        <v>45.60291025487804</v>
      </c>
      <c r="F286" s="335">
        <f t="shared" si="150"/>
        <v>181.57227613013708</v>
      </c>
      <c r="G286" s="360">
        <f t="shared" si="126"/>
        <v>5290.776954455228</v>
      </c>
      <c r="H286" s="336" t="e">
        <f t="shared" si="141"/>
        <v>#VALUE!</v>
      </c>
      <c r="I286" s="333"/>
      <c r="J286" s="359">
        <f t="shared" si="142"/>
        <v>49613</v>
      </c>
      <c r="K286" s="334">
        <f t="shared" si="127"/>
        <v>274</v>
      </c>
      <c r="L286" s="335">
        <f t="shared" si="128"/>
        <v>227.1751863850151</v>
      </c>
      <c r="M286" s="335"/>
      <c r="N286" s="335">
        <f t="shared" si="143"/>
        <v>45.60291025487804</v>
      </c>
      <c r="O286" s="335">
        <f t="shared" si="151"/>
        <v>181.57227613013708</v>
      </c>
      <c r="P286" s="360">
        <f t="shared" si="129"/>
        <v>5290.776954455228</v>
      </c>
      <c r="R286" s="359">
        <f t="shared" si="144"/>
        <v>49613</v>
      </c>
      <c r="S286" s="334">
        <f t="shared" si="130"/>
        <v>274</v>
      </c>
      <c r="T286" s="335">
        <f t="shared" si="131"/>
        <v>227.1751863850151</v>
      </c>
      <c r="U286" s="335"/>
      <c r="V286" s="335">
        <f t="shared" si="145"/>
        <v>45.60291025487804</v>
      </c>
      <c r="W286" s="335">
        <f t="shared" si="152"/>
        <v>181.57227613013708</v>
      </c>
      <c r="X286" s="360">
        <f t="shared" si="132"/>
        <v>5290.776954455228</v>
      </c>
      <c r="Z286" s="359">
        <f t="shared" si="146"/>
        <v>49613</v>
      </c>
      <c r="AA286" s="334">
        <f t="shared" si="133"/>
        <v>274</v>
      </c>
      <c r="AB286" s="335">
        <f t="shared" si="134"/>
        <v>227.1751863850151</v>
      </c>
      <c r="AC286" s="335"/>
      <c r="AD286" s="335">
        <f t="shared" si="147"/>
        <v>45.60291025487804</v>
      </c>
      <c r="AE286" s="335">
        <f t="shared" si="153"/>
        <v>181.57227613013708</v>
      </c>
      <c r="AF286" s="360">
        <f t="shared" si="135"/>
        <v>5290.776954455228</v>
      </c>
      <c r="AH286" s="359">
        <f t="shared" si="148"/>
        <v>49613</v>
      </c>
      <c r="AI286" s="334">
        <f t="shared" si="136"/>
        <v>274</v>
      </c>
      <c r="AJ286" s="335">
        <f t="shared" si="137"/>
        <v>227.1751863850151</v>
      </c>
      <c r="AK286" s="335"/>
      <c r="AL286" s="335">
        <f t="shared" si="149"/>
        <v>45.60291025487804</v>
      </c>
      <c r="AM286" s="335">
        <f t="shared" si="154"/>
        <v>181.57227613013708</v>
      </c>
      <c r="AN286" s="360">
        <f t="shared" si="138"/>
        <v>5290.776954455228</v>
      </c>
    </row>
    <row r="287" spans="1:40" ht="12.75">
      <c r="A287" s="359">
        <f t="shared" si="139"/>
        <v>49643</v>
      </c>
      <c r="B287" s="334">
        <f t="shared" si="124"/>
        <v>275</v>
      </c>
      <c r="C287" s="335">
        <f t="shared" si="125"/>
        <v>227.1751863850151</v>
      </c>
      <c r="D287" s="335"/>
      <c r="E287" s="335">
        <f t="shared" si="140"/>
        <v>44.08980795379357</v>
      </c>
      <c r="F287" s="335">
        <f t="shared" si="150"/>
        <v>183.08537843122156</v>
      </c>
      <c r="G287" s="360">
        <f t="shared" si="126"/>
        <v>5107.691576024007</v>
      </c>
      <c r="H287" s="336" t="e">
        <f t="shared" si="141"/>
        <v>#VALUE!</v>
      </c>
      <c r="I287" s="333"/>
      <c r="J287" s="359">
        <f t="shared" si="142"/>
        <v>49643</v>
      </c>
      <c r="K287" s="334">
        <f t="shared" si="127"/>
        <v>275</v>
      </c>
      <c r="L287" s="335">
        <f t="shared" si="128"/>
        <v>227.1751863850151</v>
      </c>
      <c r="M287" s="335"/>
      <c r="N287" s="335">
        <f t="shared" si="143"/>
        <v>44.08980795379357</v>
      </c>
      <c r="O287" s="335">
        <f t="shared" si="151"/>
        <v>183.08537843122156</v>
      </c>
      <c r="P287" s="360">
        <f t="shared" si="129"/>
        <v>5107.691576024007</v>
      </c>
      <c r="R287" s="359">
        <f t="shared" si="144"/>
        <v>49643</v>
      </c>
      <c r="S287" s="334">
        <f t="shared" si="130"/>
        <v>275</v>
      </c>
      <c r="T287" s="335">
        <f t="shared" si="131"/>
        <v>227.1751863850151</v>
      </c>
      <c r="U287" s="335"/>
      <c r="V287" s="335">
        <f t="shared" si="145"/>
        <v>44.08980795379357</v>
      </c>
      <c r="W287" s="335">
        <f t="shared" si="152"/>
        <v>183.08537843122156</v>
      </c>
      <c r="X287" s="360">
        <f t="shared" si="132"/>
        <v>5107.691576024007</v>
      </c>
      <c r="Z287" s="359">
        <f t="shared" si="146"/>
        <v>49643</v>
      </c>
      <c r="AA287" s="334">
        <f t="shared" si="133"/>
        <v>275</v>
      </c>
      <c r="AB287" s="335">
        <f t="shared" si="134"/>
        <v>227.1751863850151</v>
      </c>
      <c r="AC287" s="335"/>
      <c r="AD287" s="335">
        <f t="shared" si="147"/>
        <v>44.08980795379357</v>
      </c>
      <c r="AE287" s="335">
        <f t="shared" si="153"/>
        <v>183.08537843122156</v>
      </c>
      <c r="AF287" s="360">
        <f t="shared" si="135"/>
        <v>5107.691576024007</v>
      </c>
      <c r="AH287" s="359">
        <f t="shared" si="148"/>
        <v>49643</v>
      </c>
      <c r="AI287" s="334">
        <f t="shared" si="136"/>
        <v>275</v>
      </c>
      <c r="AJ287" s="335">
        <f t="shared" si="137"/>
        <v>227.1751863850151</v>
      </c>
      <c r="AK287" s="335"/>
      <c r="AL287" s="335">
        <f t="shared" si="149"/>
        <v>44.08980795379357</v>
      </c>
      <c r="AM287" s="335">
        <f t="shared" si="154"/>
        <v>183.08537843122156</v>
      </c>
      <c r="AN287" s="360">
        <f t="shared" si="138"/>
        <v>5107.691576024007</v>
      </c>
    </row>
    <row r="288" spans="1:40" ht="12.75">
      <c r="A288" s="359">
        <f t="shared" si="139"/>
        <v>49674</v>
      </c>
      <c r="B288" s="334">
        <f t="shared" si="124"/>
        <v>276</v>
      </c>
      <c r="C288" s="335">
        <f t="shared" si="125"/>
        <v>227.1751863850151</v>
      </c>
      <c r="D288" s="335"/>
      <c r="E288" s="335">
        <f t="shared" si="140"/>
        <v>42.56409646686673</v>
      </c>
      <c r="F288" s="335">
        <f t="shared" si="150"/>
        <v>184.61108991814837</v>
      </c>
      <c r="G288" s="360">
        <f t="shared" si="126"/>
        <v>4923.080486105859</v>
      </c>
      <c r="H288" s="336" t="e">
        <f t="shared" si="141"/>
        <v>#VALUE!</v>
      </c>
      <c r="I288" s="333"/>
      <c r="J288" s="359">
        <f t="shared" si="142"/>
        <v>49674</v>
      </c>
      <c r="K288" s="334">
        <f t="shared" si="127"/>
        <v>276</v>
      </c>
      <c r="L288" s="335">
        <f t="shared" si="128"/>
        <v>227.1751863850151</v>
      </c>
      <c r="M288" s="335"/>
      <c r="N288" s="335">
        <f t="shared" si="143"/>
        <v>42.56409646686673</v>
      </c>
      <c r="O288" s="335">
        <f t="shared" si="151"/>
        <v>184.61108991814837</v>
      </c>
      <c r="P288" s="360">
        <f t="shared" si="129"/>
        <v>4923.080486105859</v>
      </c>
      <c r="R288" s="359">
        <f t="shared" si="144"/>
        <v>49674</v>
      </c>
      <c r="S288" s="334">
        <f t="shared" si="130"/>
        <v>276</v>
      </c>
      <c r="T288" s="335">
        <f t="shared" si="131"/>
        <v>227.1751863850151</v>
      </c>
      <c r="U288" s="335"/>
      <c r="V288" s="335">
        <f t="shared" si="145"/>
        <v>42.56409646686673</v>
      </c>
      <c r="W288" s="335">
        <f t="shared" si="152"/>
        <v>184.61108991814837</v>
      </c>
      <c r="X288" s="360">
        <f t="shared" si="132"/>
        <v>4923.080486105859</v>
      </c>
      <c r="Z288" s="359">
        <f t="shared" si="146"/>
        <v>49674</v>
      </c>
      <c r="AA288" s="334">
        <f t="shared" si="133"/>
        <v>276</v>
      </c>
      <c r="AB288" s="335">
        <f t="shared" si="134"/>
        <v>227.1751863850151</v>
      </c>
      <c r="AC288" s="335"/>
      <c r="AD288" s="335">
        <f t="shared" si="147"/>
        <v>42.56409646686673</v>
      </c>
      <c r="AE288" s="335">
        <f t="shared" si="153"/>
        <v>184.61108991814837</v>
      </c>
      <c r="AF288" s="360">
        <f t="shared" si="135"/>
        <v>4923.080486105859</v>
      </c>
      <c r="AH288" s="359">
        <f t="shared" si="148"/>
        <v>49674</v>
      </c>
      <c r="AI288" s="334">
        <f t="shared" si="136"/>
        <v>276</v>
      </c>
      <c r="AJ288" s="335">
        <f t="shared" si="137"/>
        <v>227.1751863850151</v>
      </c>
      <c r="AK288" s="335"/>
      <c r="AL288" s="335">
        <f t="shared" si="149"/>
        <v>42.56409646686673</v>
      </c>
      <c r="AM288" s="335">
        <f t="shared" si="154"/>
        <v>184.61108991814837</v>
      </c>
      <c r="AN288" s="360">
        <f t="shared" si="138"/>
        <v>4923.080486105859</v>
      </c>
    </row>
    <row r="289" spans="1:40" ht="12.75">
      <c r="A289" s="359">
        <f t="shared" si="139"/>
        <v>49705</v>
      </c>
      <c r="B289" s="334">
        <f t="shared" si="124"/>
        <v>277</v>
      </c>
      <c r="C289" s="335">
        <f t="shared" si="125"/>
        <v>227.1751863850151</v>
      </c>
      <c r="D289" s="335"/>
      <c r="E289" s="335">
        <f t="shared" si="140"/>
        <v>41.02567071754882</v>
      </c>
      <c r="F289" s="335">
        <f t="shared" si="150"/>
        <v>186.1495156674663</v>
      </c>
      <c r="G289" s="360">
        <f t="shared" si="126"/>
        <v>4736.930970438392</v>
      </c>
      <c r="H289" s="336" t="e">
        <f t="shared" si="141"/>
        <v>#VALUE!</v>
      </c>
      <c r="I289" s="333"/>
      <c r="J289" s="359">
        <f t="shared" si="142"/>
        <v>49705</v>
      </c>
      <c r="K289" s="334">
        <f t="shared" si="127"/>
        <v>277</v>
      </c>
      <c r="L289" s="335">
        <f t="shared" si="128"/>
        <v>227.1751863850151</v>
      </c>
      <c r="M289" s="335"/>
      <c r="N289" s="335">
        <f t="shared" si="143"/>
        <v>41.02567071754882</v>
      </c>
      <c r="O289" s="335">
        <f t="shared" si="151"/>
        <v>186.1495156674663</v>
      </c>
      <c r="P289" s="360">
        <f t="shared" si="129"/>
        <v>4736.930970438392</v>
      </c>
      <c r="R289" s="359">
        <f t="shared" si="144"/>
        <v>49705</v>
      </c>
      <c r="S289" s="334">
        <f t="shared" si="130"/>
        <v>277</v>
      </c>
      <c r="T289" s="335">
        <f t="shared" si="131"/>
        <v>227.1751863850151</v>
      </c>
      <c r="U289" s="335"/>
      <c r="V289" s="335">
        <f t="shared" si="145"/>
        <v>41.02567071754882</v>
      </c>
      <c r="W289" s="335">
        <f t="shared" si="152"/>
        <v>186.1495156674663</v>
      </c>
      <c r="X289" s="360">
        <f t="shared" si="132"/>
        <v>4736.930970438392</v>
      </c>
      <c r="Z289" s="359">
        <f t="shared" si="146"/>
        <v>49705</v>
      </c>
      <c r="AA289" s="334">
        <f t="shared" si="133"/>
        <v>277</v>
      </c>
      <c r="AB289" s="335">
        <f t="shared" si="134"/>
        <v>227.1751863850151</v>
      </c>
      <c r="AC289" s="335"/>
      <c r="AD289" s="335">
        <f t="shared" si="147"/>
        <v>41.02567071754882</v>
      </c>
      <c r="AE289" s="335">
        <f t="shared" si="153"/>
        <v>186.1495156674663</v>
      </c>
      <c r="AF289" s="360">
        <f t="shared" si="135"/>
        <v>4736.930970438392</v>
      </c>
      <c r="AH289" s="359">
        <f t="shared" si="148"/>
        <v>49705</v>
      </c>
      <c r="AI289" s="334">
        <f t="shared" si="136"/>
        <v>277</v>
      </c>
      <c r="AJ289" s="335">
        <f t="shared" si="137"/>
        <v>227.1751863850151</v>
      </c>
      <c r="AK289" s="335"/>
      <c r="AL289" s="335">
        <f t="shared" si="149"/>
        <v>41.02567071754882</v>
      </c>
      <c r="AM289" s="335">
        <f t="shared" si="154"/>
        <v>186.1495156674663</v>
      </c>
      <c r="AN289" s="360">
        <f t="shared" si="138"/>
        <v>4736.930970438392</v>
      </c>
    </row>
    <row r="290" spans="1:40" ht="12.75">
      <c r="A290" s="359">
        <f t="shared" si="139"/>
        <v>49734</v>
      </c>
      <c r="B290" s="334">
        <f t="shared" si="124"/>
        <v>278</v>
      </c>
      <c r="C290" s="335">
        <f t="shared" si="125"/>
        <v>227.1751863850151</v>
      </c>
      <c r="D290" s="335"/>
      <c r="E290" s="335">
        <f t="shared" si="140"/>
        <v>39.47442475365327</v>
      </c>
      <c r="F290" s="335">
        <f t="shared" si="150"/>
        <v>187.70076163136184</v>
      </c>
      <c r="G290" s="360">
        <f t="shared" si="126"/>
        <v>4549.23020880703</v>
      </c>
      <c r="H290" s="336" t="e">
        <f t="shared" si="141"/>
        <v>#VALUE!</v>
      </c>
      <c r="I290" s="333"/>
      <c r="J290" s="359">
        <f t="shared" si="142"/>
        <v>49734</v>
      </c>
      <c r="K290" s="334">
        <f t="shared" si="127"/>
        <v>278</v>
      </c>
      <c r="L290" s="335">
        <f t="shared" si="128"/>
        <v>227.1751863850151</v>
      </c>
      <c r="M290" s="335"/>
      <c r="N290" s="335">
        <f t="shared" si="143"/>
        <v>39.47442475365327</v>
      </c>
      <c r="O290" s="335">
        <f t="shared" si="151"/>
        <v>187.70076163136184</v>
      </c>
      <c r="P290" s="360">
        <f t="shared" si="129"/>
        <v>4549.23020880703</v>
      </c>
      <c r="R290" s="359">
        <f t="shared" si="144"/>
        <v>49734</v>
      </c>
      <c r="S290" s="334">
        <f t="shared" si="130"/>
        <v>278</v>
      </c>
      <c r="T290" s="335">
        <f t="shared" si="131"/>
        <v>227.1751863850151</v>
      </c>
      <c r="U290" s="335"/>
      <c r="V290" s="335">
        <f t="shared" si="145"/>
        <v>39.47442475365327</v>
      </c>
      <c r="W290" s="335">
        <f t="shared" si="152"/>
        <v>187.70076163136184</v>
      </c>
      <c r="X290" s="360">
        <f t="shared" si="132"/>
        <v>4549.23020880703</v>
      </c>
      <c r="Z290" s="359">
        <f t="shared" si="146"/>
        <v>49734</v>
      </c>
      <c r="AA290" s="334">
        <f t="shared" si="133"/>
        <v>278</v>
      </c>
      <c r="AB290" s="335">
        <f t="shared" si="134"/>
        <v>227.1751863850151</v>
      </c>
      <c r="AC290" s="335"/>
      <c r="AD290" s="335">
        <f t="shared" si="147"/>
        <v>39.47442475365327</v>
      </c>
      <c r="AE290" s="335">
        <f t="shared" si="153"/>
        <v>187.70076163136184</v>
      </c>
      <c r="AF290" s="360">
        <f t="shared" si="135"/>
        <v>4549.23020880703</v>
      </c>
      <c r="AH290" s="359">
        <f t="shared" si="148"/>
        <v>49734</v>
      </c>
      <c r="AI290" s="334">
        <f t="shared" si="136"/>
        <v>278</v>
      </c>
      <c r="AJ290" s="335">
        <f t="shared" si="137"/>
        <v>227.1751863850151</v>
      </c>
      <c r="AK290" s="335"/>
      <c r="AL290" s="335">
        <f t="shared" si="149"/>
        <v>39.47442475365327</v>
      </c>
      <c r="AM290" s="335">
        <f t="shared" si="154"/>
        <v>187.70076163136184</v>
      </c>
      <c r="AN290" s="360">
        <f t="shared" si="138"/>
        <v>4549.23020880703</v>
      </c>
    </row>
    <row r="291" spans="1:40" ht="12.75">
      <c r="A291" s="359">
        <f t="shared" si="139"/>
        <v>49765</v>
      </c>
      <c r="B291" s="334">
        <f t="shared" si="124"/>
        <v>279</v>
      </c>
      <c r="C291" s="335">
        <f t="shared" si="125"/>
        <v>227.1751863850151</v>
      </c>
      <c r="D291" s="335"/>
      <c r="E291" s="335">
        <f t="shared" si="140"/>
        <v>37.910251740058584</v>
      </c>
      <c r="F291" s="335">
        <f t="shared" si="150"/>
        <v>189.26493464495653</v>
      </c>
      <c r="G291" s="360">
        <f t="shared" si="126"/>
        <v>4359.965274162074</v>
      </c>
      <c r="H291" s="336" t="e">
        <f t="shared" si="141"/>
        <v>#VALUE!</v>
      </c>
      <c r="I291" s="333"/>
      <c r="J291" s="359">
        <f t="shared" si="142"/>
        <v>49765</v>
      </c>
      <c r="K291" s="334">
        <f t="shared" si="127"/>
        <v>279</v>
      </c>
      <c r="L291" s="335">
        <f t="shared" si="128"/>
        <v>227.1751863850151</v>
      </c>
      <c r="M291" s="335"/>
      <c r="N291" s="335">
        <f t="shared" si="143"/>
        <v>37.910251740058584</v>
      </c>
      <c r="O291" s="335">
        <f t="shared" si="151"/>
        <v>189.26493464495653</v>
      </c>
      <c r="P291" s="360">
        <f t="shared" si="129"/>
        <v>4359.965274162074</v>
      </c>
      <c r="R291" s="359">
        <f t="shared" si="144"/>
        <v>49765</v>
      </c>
      <c r="S291" s="334">
        <f t="shared" si="130"/>
        <v>279</v>
      </c>
      <c r="T291" s="335">
        <f t="shared" si="131"/>
        <v>227.1751863850151</v>
      </c>
      <c r="U291" s="335"/>
      <c r="V291" s="335">
        <f t="shared" si="145"/>
        <v>37.910251740058584</v>
      </c>
      <c r="W291" s="335">
        <f t="shared" si="152"/>
        <v>189.26493464495653</v>
      </c>
      <c r="X291" s="360">
        <f t="shared" si="132"/>
        <v>4359.965274162074</v>
      </c>
      <c r="Z291" s="359">
        <f t="shared" si="146"/>
        <v>49765</v>
      </c>
      <c r="AA291" s="334">
        <f t="shared" si="133"/>
        <v>279</v>
      </c>
      <c r="AB291" s="335">
        <f t="shared" si="134"/>
        <v>227.1751863850151</v>
      </c>
      <c r="AC291" s="335"/>
      <c r="AD291" s="335">
        <f t="shared" si="147"/>
        <v>37.910251740058584</v>
      </c>
      <c r="AE291" s="335">
        <f t="shared" si="153"/>
        <v>189.26493464495653</v>
      </c>
      <c r="AF291" s="360">
        <f t="shared" si="135"/>
        <v>4359.965274162074</v>
      </c>
      <c r="AH291" s="359">
        <f t="shared" si="148"/>
        <v>49765</v>
      </c>
      <c r="AI291" s="334">
        <f t="shared" si="136"/>
        <v>279</v>
      </c>
      <c r="AJ291" s="335">
        <f t="shared" si="137"/>
        <v>227.1751863850151</v>
      </c>
      <c r="AK291" s="335"/>
      <c r="AL291" s="335">
        <f t="shared" si="149"/>
        <v>37.910251740058584</v>
      </c>
      <c r="AM291" s="335">
        <f t="shared" si="154"/>
        <v>189.26493464495653</v>
      </c>
      <c r="AN291" s="360">
        <f t="shared" si="138"/>
        <v>4359.965274162074</v>
      </c>
    </row>
    <row r="292" spans="1:40" ht="12.75">
      <c r="A292" s="359">
        <f t="shared" si="139"/>
        <v>49795</v>
      </c>
      <c r="B292" s="334">
        <f t="shared" si="124"/>
        <v>280</v>
      </c>
      <c r="C292" s="335">
        <f t="shared" si="125"/>
        <v>227.1751863850151</v>
      </c>
      <c r="D292" s="335"/>
      <c r="E292" s="335">
        <f t="shared" si="140"/>
        <v>36.33304395135062</v>
      </c>
      <c r="F292" s="335">
        <f t="shared" si="150"/>
        <v>190.8421424336645</v>
      </c>
      <c r="G292" s="360">
        <f t="shared" si="126"/>
        <v>4169.123131728409</v>
      </c>
      <c r="H292" s="336" t="e">
        <f t="shared" si="141"/>
        <v>#VALUE!</v>
      </c>
      <c r="I292" s="333"/>
      <c r="J292" s="359">
        <f t="shared" si="142"/>
        <v>49795</v>
      </c>
      <c r="K292" s="334">
        <f t="shared" si="127"/>
        <v>280</v>
      </c>
      <c r="L292" s="335">
        <f t="shared" si="128"/>
        <v>227.1751863850151</v>
      </c>
      <c r="M292" s="335"/>
      <c r="N292" s="335">
        <f t="shared" si="143"/>
        <v>36.33304395135062</v>
      </c>
      <c r="O292" s="335">
        <f t="shared" si="151"/>
        <v>190.8421424336645</v>
      </c>
      <c r="P292" s="360">
        <f t="shared" si="129"/>
        <v>4169.123131728409</v>
      </c>
      <c r="R292" s="359">
        <f t="shared" si="144"/>
        <v>49795</v>
      </c>
      <c r="S292" s="334">
        <f t="shared" si="130"/>
        <v>280</v>
      </c>
      <c r="T292" s="335">
        <f t="shared" si="131"/>
        <v>227.1751863850151</v>
      </c>
      <c r="U292" s="335"/>
      <c r="V292" s="335">
        <f t="shared" si="145"/>
        <v>36.33304395135062</v>
      </c>
      <c r="W292" s="335">
        <f t="shared" si="152"/>
        <v>190.8421424336645</v>
      </c>
      <c r="X292" s="360">
        <f t="shared" si="132"/>
        <v>4169.123131728409</v>
      </c>
      <c r="Z292" s="359">
        <f t="shared" si="146"/>
        <v>49795</v>
      </c>
      <c r="AA292" s="334">
        <f t="shared" si="133"/>
        <v>280</v>
      </c>
      <c r="AB292" s="335">
        <f t="shared" si="134"/>
        <v>227.1751863850151</v>
      </c>
      <c r="AC292" s="335"/>
      <c r="AD292" s="335">
        <f t="shared" si="147"/>
        <v>36.33304395135062</v>
      </c>
      <c r="AE292" s="335">
        <f t="shared" si="153"/>
        <v>190.8421424336645</v>
      </c>
      <c r="AF292" s="360">
        <f t="shared" si="135"/>
        <v>4169.123131728409</v>
      </c>
      <c r="AH292" s="359">
        <f t="shared" si="148"/>
        <v>49795</v>
      </c>
      <c r="AI292" s="334">
        <f t="shared" si="136"/>
        <v>280</v>
      </c>
      <c r="AJ292" s="335">
        <f t="shared" si="137"/>
        <v>227.1751863850151</v>
      </c>
      <c r="AK292" s="335"/>
      <c r="AL292" s="335">
        <f t="shared" si="149"/>
        <v>36.33304395135062</v>
      </c>
      <c r="AM292" s="335">
        <f t="shared" si="154"/>
        <v>190.8421424336645</v>
      </c>
      <c r="AN292" s="360">
        <f t="shared" si="138"/>
        <v>4169.123131728409</v>
      </c>
    </row>
    <row r="293" spans="1:40" ht="12.75">
      <c r="A293" s="359">
        <f t="shared" si="139"/>
        <v>49826</v>
      </c>
      <c r="B293" s="334">
        <f t="shared" si="124"/>
        <v>281</v>
      </c>
      <c r="C293" s="335">
        <f t="shared" si="125"/>
        <v>227.1751863850151</v>
      </c>
      <c r="D293" s="335"/>
      <c r="E293" s="335">
        <f t="shared" si="140"/>
        <v>34.74269276440341</v>
      </c>
      <c r="F293" s="335">
        <f t="shared" si="150"/>
        <v>192.4324936206117</v>
      </c>
      <c r="G293" s="360">
        <f t="shared" si="126"/>
        <v>3976.6906381077974</v>
      </c>
      <c r="H293" s="336" t="e">
        <f t="shared" si="141"/>
        <v>#VALUE!</v>
      </c>
      <c r="I293" s="333"/>
      <c r="J293" s="359">
        <f t="shared" si="142"/>
        <v>49826</v>
      </c>
      <c r="K293" s="334">
        <f t="shared" si="127"/>
        <v>281</v>
      </c>
      <c r="L293" s="335">
        <f t="shared" si="128"/>
        <v>227.1751863850151</v>
      </c>
      <c r="M293" s="335"/>
      <c r="N293" s="335">
        <f t="shared" si="143"/>
        <v>34.74269276440341</v>
      </c>
      <c r="O293" s="335">
        <f t="shared" si="151"/>
        <v>192.4324936206117</v>
      </c>
      <c r="P293" s="360">
        <f t="shared" si="129"/>
        <v>3976.6906381077974</v>
      </c>
      <c r="R293" s="359">
        <f t="shared" si="144"/>
        <v>49826</v>
      </c>
      <c r="S293" s="334">
        <f t="shared" si="130"/>
        <v>281</v>
      </c>
      <c r="T293" s="335">
        <f t="shared" si="131"/>
        <v>227.1751863850151</v>
      </c>
      <c r="U293" s="335"/>
      <c r="V293" s="335">
        <f t="shared" si="145"/>
        <v>34.74269276440341</v>
      </c>
      <c r="W293" s="335">
        <f t="shared" si="152"/>
        <v>192.4324936206117</v>
      </c>
      <c r="X293" s="360">
        <f t="shared" si="132"/>
        <v>3976.6906381077974</v>
      </c>
      <c r="Z293" s="359">
        <f t="shared" si="146"/>
        <v>49826</v>
      </c>
      <c r="AA293" s="334">
        <f t="shared" si="133"/>
        <v>281</v>
      </c>
      <c r="AB293" s="335">
        <f t="shared" si="134"/>
        <v>227.1751863850151</v>
      </c>
      <c r="AC293" s="335"/>
      <c r="AD293" s="335">
        <f t="shared" si="147"/>
        <v>34.74269276440341</v>
      </c>
      <c r="AE293" s="335">
        <f t="shared" si="153"/>
        <v>192.4324936206117</v>
      </c>
      <c r="AF293" s="360">
        <f t="shared" si="135"/>
        <v>3976.6906381077974</v>
      </c>
      <c r="AH293" s="359">
        <f t="shared" si="148"/>
        <v>49826</v>
      </c>
      <c r="AI293" s="334">
        <f t="shared" si="136"/>
        <v>281</v>
      </c>
      <c r="AJ293" s="335">
        <f t="shared" si="137"/>
        <v>227.1751863850151</v>
      </c>
      <c r="AK293" s="335"/>
      <c r="AL293" s="335">
        <f t="shared" si="149"/>
        <v>34.74269276440341</v>
      </c>
      <c r="AM293" s="335">
        <f t="shared" si="154"/>
        <v>192.4324936206117</v>
      </c>
      <c r="AN293" s="360">
        <f t="shared" si="138"/>
        <v>3976.6906381077974</v>
      </c>
    </row>
    <row r="294" spans="1:40" ht="12.75">
      <c r="A294" s="359">
        <f t="shared" si="139"/>
        <v>49856</v>
      </c>
      <c r="B294" s="334">
        <f t="shared" si="124"/>
        <v>282</v>
      </c>
      <c r="C294" s="335">
        <f t="shared" si="125"/>
        <v>227.1751863850151</v>
      </c>
      <c r="D294" s="335"/>
      <c r="E294" s="335">
        <f t="shared" si="140"/>
        <v>33.13908865089831</v>
      </c>
      <c r="F294" s="335">
        <f t="shared" si="150"/>
        <v>194.0360977341168</v>
      </c>
      <c r="G294" s="360">
        <f t="shared" si="126"/>
        <v>3782.6545403736804</v>
      </c>
      <c r="H294" s="336" t="e">
        <f t="shared" si="141"/>
        <v>#VALUE!</v>
      </c>
      <c r="I294" s="333"/>
      <c r="J294" s="359">
        <f t="shared" si="142"/>
        <v>49856</v>
      </c>
      <c r="K294" s="334">
        <f t="shared" si="127"/>
        <v>282</v>
      </c>
      <c r="L294" s="335">
        <f t="shared" si="128"/>
        <v>227.1751863850151</v>
      </c>
      <c r="M294" s="335"/>
      <c r="N294" s="335">
        <f t="shared" si="143"/>
        <v>33.13908865089831</v>
      </c>
      <c r="O294" s="335">
        <f t="shared" si="151"/>
        <v>194.0360977341168</v>
      </c>
      <c r="P294" s="360">
        <f t="shared" si="129"/>
        <v>3782.6545403736804</v>
      </c>
      <c r="R294" s="359">
        <f t="shared" si="144"/>
        <v>49856</v>
      </c>
      <c r="S294" s="334">
        <f t="shared" si="130"/>
        <v>282</v>
      </c>
      <c r="T294" s="335">
        <f t="shared" si="131"/>
        <v>227.1751863850151</v>
      </c>
      <c r="U294" s="335"/>
      <c r="V294" s="335">
        <f t="shared" si="145"/>
        <v>33.13908865089831</v>
      </c>
      <c r="W294" s="335">
        <f t="shared" si="152"/>
        <v>194.0360977341168</v>
      </c>
      <c r="X294" s="360">
        <f t="shared" si="132"/>
        <v>3782.6545403736804</v>
      </c>
      <c r="Z294" s="359">
        <f t="shared" si="146"/>
        <v>49856</v>
      </c>
      <c r="AA294" s="334">
        <f t="shared" si="133"/>
        <v>282</v>
      </c>
      <c r="AB294" s="335">
        <f t="shared" si="134"/>
        <v>227.1751863850151</v>
      </c>
      <c r="AC294" s="335"/>
      <c r="AD294" s="335">
        <f t="shared" si="147"/>
        <v>33.13908865089831</v>
      </c>
      <c r="AE294" s="335">
        <f t="shared" si="153"/>
        <v>194.0360977341168</v>
      </c>
      <c r="AF294" s="360">
        <f t="shared" si="135"/>
        <v>3782.6545403736804</v>
      </c>
      <c r="AH294" s="359">
        <f t="shared" si="148"/>
        <v>49856</v>
      </c>
      <c r="AI294" s="334">
        <f t="shared" si="136"/>
        <v>282</v>
      </c>
      <c r="AJ294" s="335">
        <f t="shared" si="137"/>
        <v>227.1751863850151</v>
      </c>
      <c r="AK294" s="335"/>
      <c r="AL294" s="335">
        <f t="shared" si="149"/>
        <v>33.13908865089831</v>
      </c>
      <c r="AM294" s="335">
        <f t="shared" si="154"/>
        <v>194.0360977341168</v>
      </c>
      <c r="AN294" s="360">
        <f t="shared" si="138"/>
        <v>3782.6545403736804</v>
      </c>
    </row>
    <row r="295" spans="1:40" ht="12.75">
      <c r="A295" s="359">
        <f t="shared" si="139"/>
        <v>49887</v>
      </c>
      <c r="B295" s="334">
        <f t="shared" si="124"/>
        <v>283</v>
      </c>
      <c r="C295" s="335">
        <f t="shared" si="125"/>
        <v>227.1751863850151</v>
      </c>
      <c r="D295" s="335"/>
      <c r="E295" s="335">
        <f t="shared" si="140"/>
        <v>31.52212116978067</v>
      </c>
      <c r="F295" s="335">
        <f t="shared" si="150"/>
        <v>195.65306521523445</v>
      </c>
      <c r="G295" s="360">
        <f t="shared" si="126"/>
        <v>3587.001475158446</v>
      </c>
      <c r="H295" s="336" t="e">
        <f t="shared" si="141"/>
        <v>#VALUE!</v>
      </c>
      <c r="I295" s="333"/>
      <c r="J295" s="359">
        <f t="shared" si="142"/>
        <v>49887</v>
      </c>
      <c r="K295" s="334">
        <f t="shared" si="127"/>
        <v>283</v>
      </c>
      <c r="L295" s="335">
        <f t="shared" si="128"/>
        <v>227.1751863850151</v>
      </c>
      <c r="M295" s="335"/>
      <c r="N295" s="335">
        <f t="shared" si="143"/>
        <v>31.52212116978067</v>
      </c>
      <c r="O295" s="335">
        <f t="shared" si="151"/>
        <v>195.65306521523445</v>
      </c>
      <c r="P295" s="360">
        <f t="shared" si="129"/>
        <v>3587.001475158446</v>
      </c>
      <c r="R295" s="359">
        <f t="shared" si="144"/>
        <v>49887</v>
      </c>
      <c r="S295" s="334">
        <f t="shared" si="130"/>
        <v>283</v>
      </c>
      <c r="T295" s="335">
        <f t="shared" si="131"/>
        <v>227.1751863850151</v>
      </c>
      <c r="U295" s="335"/>
      <c r="V295" s="335">
        <f t="shared" si="145"/>
        <v>31.52212116978067</v>
      </c>
      <c r="W295" s="335">
        <f t="shared" si="152"/>
        <v>195.65306521523445</v>
      </c>
      <c r="X295" s="360">
        <f t="shared" si="132"/>
        <v>3587.001475158446</v>
      </c>
      <c r="Z295" s="359">
        <f t="shared" si="146"/>
        <v>49887</v>
      </c>
      <c r="AA295" s="334">
        <f t="shared" si="133"/>
        <v>283</v>
      </c>
      <c r="AB295" s="335">
        <f t="shared" si="134"/>
        <v>227.1751863850151</v>
      </c>
      <c r="AC295" s="335"/>
      <c r="AD295" s="335">
        <f t="shared" si="147"/>
        <v>31.52212116978067</v>
      </c>
      <c r="AE295" s="335">
        <f t="shared" si="153"/>
        <v>195.65306521523445</v>
      </c>
      <c r="AF295" s="360">
        <f t="shared" si="135"/>
        <v>3587.001475158446</v>
      </c>
      <c r="AH295" s="359">
        <f t="shared" si="148"/>
        <v>49887</v>
      </c>
      <c r="AI295" s="334">
        <f t="shared" si="136"/>
        <v>283</v>
      </c>
      <c r="AJ295" s="335">
        <f t="shared" si="137"/>
        <v>227.1751863850151</v>
      </c>
      <c r="AK295" s="335"/>
      <c r="AL295" s="335">
        <f t="shared" si="149"/>
        <v>31.52212116978067</v>
      </c>
      <c r="AM295" s="335">
        <f t="shared" si="154"/>
        <v>195.65306521523445</v>
      </c>
      <c r="AN295" s="360">
        <f t="shared" si="138"/>
        <v>3587.001475158446</v>
      </c>
    </row>
    <row r="296" spans="1:40" ht="12.75">
      <c r="A296" s="359">
        <f t="shared" si="139"/>
        <v>49918</v>
      </c>
      <c r="B296" s="334">
        <f t="shared" si="124"/>
        <v>284</v>
      </c>
      <c r="C296" s="335">
        <f t="shared" si="125"/>
        <v>227.1751863850151</v>
      </c>
      <c r="D296" s="335"/>
      <c r="E296" s="335">
        <f t="shared" si="140"/>
        <v>29.891678959653714</v>
      </c>
      <c r="F296" s="335">
        <f t="shared" si="150"/>
        <v>197.2835074253614</v>
      </c>
      <c r="G296" s="360">
        <f t="shared" si="126"/>
        <v>3389.7179677330846</v>
      </c>
      <c r="H296" s="336" t="e">
        <f t="shared" si="141"/>
        <v>#VALUE!</v>
      </c>
      <c r="I296" s="333"/>
      <c r="J296" s="359">
        <f t="shared" si="142"/>
        <v>49918</v>
      </c>
      <c r="K296" s="334">
        <f t="shared" si="127"/>
        <v>284</v>
      </c>
      <c r="L296" s="335">
        <f t="shared" si="128"/>
        <v>227.1751863850151</v>
      </c>
      <c r="M296" s="335"/>
      <c r="N296" s="335">
        <f t="shared" si="143"/>
        <v>29.891678959653714</v>
      </c>
      <c r="O296" s="335">
        <f t="shared" si="151"/>
        <v>197.2835074253614</v>
      </c>
      <c r="P296" s="360">
        <f t="shared" si="129"/>
        <v>3389.7179677330846</v>
      </c>
      <c r="R296" s="359">
        <f t="shared" si="144"/>
        <v>49918</v>
      </c>
      <c r="S296" s="334">
        <f t="shared" si="130"/>
        <v>284</v>
      </c>
      <c r="T296" s="335">
        <f t="shared" si="131"/>
        <v>227.1751863850151</v>
      </c>
      <c r="U296" s="335"/>
      <c r="V296" s="335">
        <f t="shared" si="145"/>
        <v>29.891678959653714</v>
      </c>
      <c r="W296" s="335">
        <f t="shared" si="152"/>
        <v>197.2835074253614</v>
      </c>
      <c r="X296" s="360">
        <f t="shared" si="132"/>
        <v>3389.7179677330846</v>
      </c>
      <c r="Z296" s="359">
        <f t="shared" si="146"/>
        <v>49918</v>
      </c>
      <c r="AA296" s="334">
        <f t="shared" si="133"/>
        <v>284</v>
      </c>
      <c r="AB296" s="335">
        <f t="shared" si="134"/>
        <v>227.1751863850151</v>
      </c>
      <c r="AC296" s="335"/>
      <c r="AD296" s="335">
        <f t="shared" si="147"/>
        <v>29.891678959653714</v>
      </c>
      <c r="AE296" s="335">
        <f t="shared" si="153"/>
        <v>197.2835074253614</v>
      </c>
      <c r="AF296" s="360">
        <f t="shared" si="135"/>
        <v>3389.7179677330846</v>
      </c>
      <c r="AH296" s="359">
        <f t="shared" si="148"/>
        <v>49918</v>
      </c>
      <c r="AI296" s="334">
        <f t="shared" si="136"/>
        <v>284</v>
      </c>
      <c r="AJ296" s="335">
        <f t="shared" si="137"/>
        <v>227.1751863850151</v>
      </c>
      <c r="AK296" s="335"/>
      <c r="AL296" s="335">
        <f t="shared" si="149"/>
        <v>29.891678959653714</v>
      </c>
      <c r="AM296" s="335">
        <f t="shared" si="154"/>
        <v>197.2835074253614</v>
      </c>
      <c r="AN296" s="360">
        <f t="shared" si="138"/>
        <v>3389.7179677330846</v>
      </c>
    </row>
    <row r="297" spans="1:40" ht="12.75">
      <c r="A297" s="359">
        <f t="shared" si="139"/>
        <v>49948</v>
      </c>
      <c r="B297" s="334">
        <f t="shared" si="124"/>
        <v>285</v>
      </c>
      <c r="C297" s="335">
        <f t="shared" si="125"/>
        <v>227.1751863850151</v>
      </c>
      <c r="D297" s="335"/>
      <c r="E297" s="335">
        <f t="shared" si="140"/>
        <v>28.24764973110904</v>
      </c>
      <c r="F297" s="335">
        <f t="shared" si="150"/>
        <v>198.92753665390606</v>
      </c>
      <c r="G297" s="360">
        <f t="shared" si="126"/>
        <v>3190.7904310791787</v>
      </c>
      <c r="H297" s="336" t="e">
        <f t="shared" si="141"/>
        <v>#VALUE!</v>
      </c>
      <c r="I297" s="333"/>
      <c r="J297" s="359">
        <f t="shared" si="142"/>
        <v>49948</v>
      </c>
      <c r="K297" s="334">
        <f t="shared" si="127"/>
        <v>285</v>
      </c>
      <c r="L297" s="335">
        <f t="shared" si="128"/>
        <v>227.1751863850151</v>
      </c>
      <c r="M297" s="335"/>
      <c r="N297" s="335">
        <f t="shared" si="143"/>
        <v>28.24764973110904</v>
      </c>
      <c r="O297" s="335">
        <f t="shared" si="151"/>
        <v>198.92753665390606</v>
      </c>
      <c r="P297" s="360">
        <f t="shared" si="129"/>
        <v>3190.7904310791787</v>
      </c>
      <c r="R297" s="359">
        <f t="shared" si="144"/>
        <v>49948</v>
      </c>
      <c r="S297" s="334">
        <f t="shared" si="130"/>
        <v>285</v>
      </c>
      <c r="T297" s="335">
        <f t="shared" si="131"/>
        <v>227.1751863850151</v>
      </c>
      <c r="U297" s="335"/>
      <c r="V297" s="335">
        <f t="shared" si="145"/>
        <v>28.24764973110904</v>
      </c>
      <c r="W297" s="335">
        <f t="shared" si="152"/>
        <v>198.92753665390606</v>
      </c>
      <c r="X297" s="360">
        <f t="shared" si="132"/>
        <v>3190.7904310791787</v>
      </c>
      <c r="Z297" s="359">
        <f t="shared" si="146"/>
        <v>49948</v>
      </c>
      <c r="AA297" s="334">
        <f t="shared" si="133"/>
        <v>285</v>
      </c>
      <c r="AB297" s="335">
        <f t="shared" si="134"/>
        <v>227.1751863850151</v>
      </c>
      <c r="AC297" s="335"/>
      <c r="AD297" s="335">
        <f t="shared" si="147"/>
        <v>28.24764973110904</v>
      </c>
      <c r="AE297" s="335">
        <f t="shared" si="153"/>
        <v>198.92753665390606</v>
      </c>
      <c r="AF297" s="360">
        <f t="shared" si="135"/>
        <v>3190.7904310791787</v>
      </c>
      <c r="AH297" s="359">
        <f t="shared" si="148"/>
        <v>49948</v>
      </c>
      <c r="AI297" s="334">
        <f t="shared" si="136"/>
        <v>285</v>
      </c>
      <c r="AJ297" s="335">
        <f t="shared" si="137"/>
        <v>227.1751863850151</v>
      </c>
      <c r="AK297" s="335"/>
      <c r="AL297" s="335">
        <f t="shared" si="149"/>
        <v>28.24764973110904</v>
      </c>
      <c r="AM297" s="335">
        <f t="shared" si="154"/>
        <v>198.92753665390606</v>
      </c>
      <c r="AN297" s="360">
        <f t="shared" si="138"/>
        <v>3190.7904310791787</v>
      </c>
    </row>
    <row r="298" spans="1:40" ht="12.75">
      <c r="A298" s="359">
        <f t="shared" si="139"/>
        <v>49979</v>
      </c>
      <c r="B298" s="334">
        <f t="shared" si="124"/>
        <v>286</v>
      </c>
      <c r="C298" s="335">
        <f t="shared" si="125"/>
        <v>227.1751863850151</v>
      </c>
      <c r="D298" s="335"/>
      <c r="E298" s="335">
        <f t="shared" si="140"/>
        <v>26.589920258993157</v>
      </c>
      <c r="F298" s="335">
        <f t="shared" si="150"/>
        <v>200.58526612602196</v>
      </c>
      <c r="G298" s="360">
        <f t="shared" si="126"/>
        <v>2990.205164953157</v>
      </c>
      <c r="H298" s="336" t="e">
        <f t="shared" si="141"/>
        <v>#VALUE!</v>
      </c>
      <c r="I298" s="333"/>
      <c r="J298" s="359">
        <f t="shared" si="142"/>
        <v>49979</v>
      </c>
      <c r="K298" s="334">
        <f t="shared" si="127"/>
        <v>286</v>
      </c>
      <c r="L298" s="335">
        <f t="shared" si="128"/>
        <v>227.1751863850151</v>
      </c>
      <c r="M298" s="335"/>
      <c r="N298" s="335">
        <f t="shared" si="143"/>
        <v>26.589920258993157</v>
      </c>
      <c r="O298" s="335">
        <f t="shared" si="151"/>
        <v>200.58526612602196</v>
      </c>
      <c r="P298" s="360">
        <f t="shared" si="129"/>
        <v>2990.205164953157</v>
      </c>
      <c r="R298" s="359">
        <f t="shared" si="144"/>
        <v>49979</v>
      </c>
      <c r="S298" s="334">
        <f t="shared" si="130"/>
        <v>286</v>
      </c>
      <c r="T298" s="335">
        <f t="shared" si="131"/>
        <v>227.1751863850151</v>
      </c>
      <c r="U298" s="335"/>
      <c r="V298" s="335">
        <f t="shared" si="145"/>
        <v>26.589920258993157</v>
      </c>
      <c r="W298" s="335">
        <f t="shared" si="152"/>
        <v>200.58526612602196</v>
      </c>
      <c r="X298" s="360">
        <f t="shared" si="132"/>
        <v>2990.205164953157</v>
      </c>
      <c r="Z298" s="359">
        <f t="shared" si="146"/>
        <v>49979</v>
      </c>
      <c r="AA298" s="334">
        <f t="shared" si="133"/>
        <v>286</v>
      </c>
      <c r="AB298" s="335">
        <f t="shared" si="134"/>
        <v>227.1751863850151</v>
      </c>
      <c r="AC298" s="335"/>
      <c r="AD298" s="335">
        <f t="shared" si="147"/>
        <v>26.589920258993157</v>
      </c>
      <c r="AE298" s="335">
        <f t="shared" si="153"/>
        <v>200.58526612602196</v>
      </c>
      <c r="AF298" s="360">
        <f t="shared" si="135"/>
        <v>2990.205164953157</v>
      </c>
      <c r="AH298" s="359">
        <f t="shared" si="148"/>
        <v>49979</v>
      </c>
      <c r="AI298" s="334">
        <f t="shared" si="136"/>
        <v>286</v>
      </c>
      <c r="AJ298" s="335">
        <f t="shared" si="137"/>
        <v>227.1751863850151</v>
      </c>
      <c r="AK298" s="335"/>
      <c r="AL298" s="335">
        <f t="shared" si="149"/>
        <v>26.589920258993157</v>
      </c>
      <c r="AM298" s="335">
        <f t="shared" si="154"/>
        <v>200.58526612602196</v>
      </c>
      <c r="AN298" s="360">
        <f t="shared" si="138"/>
        <v>2990.205164953157</v>
      </c>
    </row>
    <row r="299" spans="1:40" ht="12.75">
      <c r="A299" s="359">
        <f t="shared" si="139"/>
        <v>50009</v>
      </c>
      <c r="B299" s="334">
        <f t="shared" si="124"/>
        <v>287</v>
      </c>
      <c r="C299" s="335">
        <f t="shared" si="125"/>
        <v>227.1751863850151</v>
      </c>
      <c r="D299" s="335"/>
      <c r="E299" s="335">
        <f t="shared" si="140"/>
        <v>24.91837637460964</v>
      </c>
      <c r="F299" s="335">
        <f t="shared" si="150"/>
        <v>202.25681001040547</v>
      </c>
      <c r="G299" s="360">
        <f t="shared" si="126"/>
        <v>2787.9483549427514</v>
      </c>
      <c r="H299" s="336" t="e">
        <f t="shared" si="141"/>
        <v>#VALUE!</v>
      </c>
      <c r="I299" s="333"/>
      <c r="J299" s="359">
        <f t="shared" si="142"/>
        <v>50009</v>
      </c>
      <c r="K299" s="334">
        <f t="shared" si="127"/>
        <v>287</v>
      </c>
      <c r="L299" s="335">
        <f t="shared" si="128"/>
        <v>227.1751863850151</v>
      </c>
      <c r="M299" s="335"/>
      <c r="N299" s="335">
        <f t="shared" si="143"/>
        <v>24.91837637460964</v>
      </c>
      <c r="O299" s="335">
        <f t="shared" si="151"/>
        <v>202.25681001040547</v>
      </c>
      <c r="P299" s="360">
        <f t="shared" si="129"/>
        <v>2787.9483549427514</v>
      </c>
      <c r="R299" s="359">
        <f t="shared" si="144"/>
        <v>50009</v>
      </c>
      <c r="S299" s="334">
        <f t="shared" si="130"/>
        <v>287</v>
      </c>
      <c r="T299" s="335">
        <f t="shared" si="131"/>
        <v>227.1751863850151</v>
      </c>
      <c r="U299" s="335"/>
      <c r="V299" s="335">
        <f t="shared" si="145"/>
        <v>24.91837637460964</v>
      </c>
      <c r="W299" s="335">
        <f t="shared" si="152"/>
        <v>202.25681001040547</v>
      </c>
      <c r="X299" s="360">
        <f t="shared" si="132"/>
        <v>2787.9483549427514</v>
      </c>
      <c r="Z299" s="359">
        <f t="shared" si="146"/>
        <v>50009</v>
      </c>
      <c r="AA299" s="334">
        <f t="shared" si="133"/>
        <v>287</v>
      </c>
      <c r="AB299" s="335">
        <f t="shared" si="134"/>
        <v>227.1751863850151</v>
      </c>
      <c r="AC299" s="335"/>
      <c r="AD299" s="335">
        <f t="shared" si="147"/>
        <v>24.91837637460964</v>
      </c>
      <c r="AE299" s="335">
        <f t="shared" si="153"/>
        <v>202.25681001040547</v>
      </c>
      <c r="AF299" s="360">
        <f t="shared" si="135"/>
        <v>2787.9483549427514</v>
      </c>
      <c r="AH299" s="359">
        <f t="shared" si="148"/>
        <v>50009</v>
      </c>
      <c r="AI299" s="334">
        <f t="shared" si="136"/>
        <v>287</v>
      </c>
      <c r="AJ299" s="335">
        <f t="shared" si="137"/>
        <v>227.1751863850151</v>
      </c>
      <c r="AK299" s="335"/>
      <c r="AL299" s="335">
        <f t="shared" si="149"/>
        <v>24.91837637460964</v>
      </c>
      <c r="AM299" s="335">
        <f t="shared" si="154"/>
        <v>202.25681001040547</v>
      </c>
      <c r="AN299" s="360">
        <f t="shared" si="138"/>
        <v>2787.9483549427514</v>
      </c>
    </row>
    <row r="300" spans="1:40" ht="12.75">
      <c r="A300" s="359">
        <f t="shared" si="139"/>
        <v>50040</v>
      </c>
      <c r="B300" s="334">
        <f t="shared" si="124"/>
        <v>288</v>
      </c>
      <c r="C300" s="335">
        <f t="shared" si="125"/>
        <v>227.1751863850151</v>
      </c>
      <c r="D300" s="335"/>
      <c r="E300" s="335">
        <f t="shared" si="140"/>
        <v>23.23290295785626</v>
      </c>
      <c r="F300" s="335">
        <f t="shared" si="150"/>
        <v>203.94228342715886</v>
      </c>
      <c r="G300" s="360">
        <f t="shared" si="126"/>
        <v>2584.0060715155923</v>
      </c>
      <c r="H300" s="336" t="e">
        <f t="shared" si="141"/>
        <v>#VALUE!</v>
      </c>
      <c r="I300" s="333"/>
      <c r="J300" s="359">
        <f t="shared" si="142"/>
        <v>50040</v>
      </c>
      <c r="K300" s="334">
        <f t="shared" si="127"/>
        <v>288</v>
      </c>
      <c r="L300" s="335">
        <f t="shared" si="128"/>
        <v>227.1751863850151</v>
      </c>
      <c r="M300" s="335"/>
      <c r="N300" s="335">
        <f t="shared" si="143"/>
        <v>23.23290295785626</v>
      </c>
      <c r="O300" s="335">
        <f t="shared" si="151"/>
        <v>203.94228342715886</v>
      </c>
      <c r="P300" s="360">
        <f t="shared" si="129"/>
        <v>2584.0060715155923</v>
      </c>
      <c r="R300" s="359">
        <f t="shared" si="144"/>
        <v>50040</v>
      </c>
      <c r="S300" s="334">
        <f t="shared" si="130"/>
        <v>288</v>
      </c>
      <c r="T300" s="335">
        <f t="shared" si="131"/>
        <v>227.1751863850151</v>
      </c>
      <c r="U300" s="335"/>
      <c r="V300" s="335">
        <f t="shared" si="145"/>
        <v>23.23290295785626</v>
      </c>
      <c r="W300" s="335">
        <f t="shared" si="152"/>
        <v>203.94228342715886</v>
      </c>
      <c r="X300" s="360">
        <f t="shared" si="132"/>
        <v>2584.0060715155923</v>
      </c>
      <c r="Z300" s="359">
        <f t="shared" si="146"/>
        <v>50040</v>
      </c>
      <c r="AA300" s="334">
        <f t="shared" si="133"/>
        <v>288</v>
      </c>
      <c r="AB300" s="335">
        <f t="shared" si="134"/>
        <v>227.1751863850151</v>
      </c>
      <c r="AC300" s="335"/>
      <c r="AD300" s="335">
        <f t="shared" si="147"/>
        <v>23.23290295785626</v>
      </c>
      <c r="AE300" s="335">
        <f t="shared" si="153"/>
        <v>203.94228342715886</v>
      </c>
      <c r="AF300" s="360">
        <f t="shared" si="135"/>
        <v>2584.0060715155923</v>
      </c>
      <c r="AH300" s="359">
        <f t="shared" si="148"/>
        <v>50040</v>
      </c>
      <c r="AI300" s="334">
        <f t="shared" si="136"/>
        <v>288</v>
      </c>
      <c r="AJ300" s="335">
        <f t="shared" si="137"/>
        <v>227.1751863850151</v>
      </c>
      <c r="AK300" s="335"/>
      <c r="AL300" s="335">
        <f t="shared" si="149"/>
        <v>23.23290295785626</v>
      </c>
      <c r="AM300" s="335">
        <f t="shared" si="154"/>
        <v>203.94228342715886</v>
      </c>
      <c r="AN300" s="360">
        <f t="shared" si="138"/>
        <v>2584.0060715155923</v>
      </c>
    </row>
    <row r="301" spans="1:40" ht="12.75">
      <c r="A301" s="359">
        <f t="shared" si="139"/>
        <v>50071</v>
      </c>
      <c r="B301" s="334">
        <f t="shared" si="124"/>
        <v>289</v>
      </c>
      <c r="C301" s="335">
        <f t="shared" si="125"/>
        <v>227.1751863850151</v>
      </c>
      <c r="D301" s="335"/>
      <c r="E301" s="335">
        <f t="shared" si="140"/>
        <v>21.5333839292966</v>
      </c>
      <c r="F301" s="335">
        <f t="shared" si="150"/>
        <v>205.6418024557185</v>
      </c>
      <c r="G301" s="360">
        <f t="shared" si="126"/>
        <v>2378.364269059874</v>
      </c>
      <c r="H301" s="336" t="e">
        <f t="shared" si="141"/>
        <v>#VALUE!</v>
      </c>
      <c r="I301" s="333"/>
      <c r="J301" s="359">
        <f t="shared" si="142"/>
        <v>50071</v>
      </c>
      <c r="K301" s="334">
        <f t="shared" si="127"/>
        <v>289</v>
      </c>
      <c r="L301" s="335">
        <f t="shared" si="128"/>
        <v>227.1751863850151</v>
      </c>
      <c r="M301" s="335"/>
      <c r="N301" s="335">
        <f t="shared" si="143"/>
        <v>21.5333839292966</v>
      </c>
      <c r="O301" s="335">
        <f t="shared" si="151"/>
        <v>205.6418024557185</v>
      </c>
      <c r="P301" s="360">
        <f t="shared" si="129"/>
        <v>2378.364269059874</v>
      </c>
      <c r="R301" s="359">
        <f t="shared" si="144"/>
        <v>50071</v>
      </c>
      <c r="S301" s="334">
        <f t="shared" si="130"/>
        <v>289</v>
      </c>
      <c r="T301" s="335">
        <f t="shared" si="131"/>
        <v>227.1751863850151</v>
      </c>
      <c r="U301" s="335"/>
      <c r="V301" s="335">
        <f t="shared" si="145"/>
        <v>21.5333839292966</v>
      </c>
      <c r="W301" s="335">
        <f t="shared" si="152"/>
        <v>205.6418024557185</v>
      </c>
      <c r="X301" s="360">
        <f t="shared" si="132"/>
        <v>2378.364269059874</v>
      </c>
      <c r="Z301" s="359">
        <f t="shared" si="146"/>
        <v>50071</v>
      </c>
      <c r="AA301" s="334">
        <f t="shared" si="133"/>
        <v>289</v>
      </c>
      <c r="AB301" s="335">
        <f t="shared" si="134"/>
        <v>227.1751863850151</v>
      </c>
      <c r="AC301" s="335"/>
      <c r="AD301" s="335">
        <f t="shared" si="147"/>
        <v>21.5333839292966</v>
      </c>
      <c r="AE301" s="335">
        <f t="shared" si="153"/>
        <v>205.6418024557185</v>
      </c>
      <c r="AF301" s="360">
        <f t="shared" si="135"/>
        <v>2378.364269059874</v>
      </c>
      <c r="AH301" s="359">
        <f t="shared" si="148"/>
        <v>50071</v>
      </c>
      <c r="AI301" s="334">
        <f t="shared" si="136"/>
        <v>289</v>
      </c>
      <c r="AJ301" s="335">
        <f t="shared" si="137"/>
        <v>227.1751863850151</v>
      </c>
      <c r="AK301" s="335"/>
      <c r="AL301" s="335">
        <f t="shared" si="149"/>
        <v>21.5333839292966</v>
      </c>
      <c r="AM301" s="335">
        <f t="shared" si="154"/>
        <v>205.6418024557185</v>
      </c>
      <c r="AN301" s="360">
        <f t="shared" si="138"/>
        <v>2378.364269059874</v>
      </c>
    </row>
    <row r="302" spans="1:40" ht="12.75">
      <c r="A302" s="359">
        <f t="shared" si="139"/>
        <v>50099</v>
      </c>
      <c r="B302" s="334">
        <f t="shared" si="124"/>
        <v>290</v>
      </c>
      <c r="C302" s="335">
        <f t="shared" si="125"/>
        <v>227.1751863850151</v>
      </c>
      <c r="D302" s="335"/>
      <c r="E302" s="335">
        <f t="shared" si="140"/>
        <v>19.819702242165615</v>
      </c>
      <c r="F302" s="335">
        <f t="shared" si="150"/>
        <v>207.3554841428495</v>
      </c>
      <c r="G302" s="360">
        <f t="shared" si="126"/>
        <v>2171.0087849170245</v>
      </c>
      <c r="H302" s="336" t="e">
        <f t="shared" si="141"/>
        <v>#VALUE!</v>
      </c>
      <c r="I302" s="333"/>
      <c r="J302" s="359">
        <f t="shared" si="142"/>
        <v>50099</v>
      </c>
      <c r="K302" s="334">
        <f t="shared" si="127"/>
        <v>290</v>
      </c>
      <c r="L302" s="335">
        <f t="shared" si="128"/>
        <v>227.1751863850151</v>
      </c>
      <c r="M302" s="335"/>
      <c r="N302" s="335">
        <f t="shared" si="143"/>
        <v>19.819702242165615</v>
      </c>
      <c r="O302" s="335">
        <f t="shared" si="151"/>
        <v>207.3554841428495</v>
      </c>
      <c r="P302" s="360">
        <f t="shared" si="129"/>
        <v>2171.0087849170245</v>
      </c>
      <c r="R302" s="359">
        <f t="shared" si="144"/>
        <v>50099</v>
      </c>
      <c r="S302" s="334">
        <f t="shared" si="130"/>
        <v>290</v>
      </c>
      <c r="T302" s="335">
        <f t="shared" si="131"/>
        <v>227.1751863850151</v>
      </c>
      <c r="U302" s="335"/>
      <c r="V302" s="335">
        <f t="shared" si="145"/>
        <v>19.819702242165615</v>
      </c>
      <c r="W302" s="335">
        <f t="shared" si="152"/>
        <v>207.3554841428495</v>
      </c>
      <c r="X302" s="360">
        <f t="shared" si="132"/>
        <v>2171.0087849170245</v>
      </c>
      <c r="Z302" s="359">
        <f t="shared" si="146"/>
        <v>50099</v>
      </c>
      <c r="AA302" s="334">
        <f t="shared" si="133"/>
        <v>290</v>
      </c>
      <c r="AB302" s="335">
        <f t="shared" si="134"/>
        <v>227.1751863850151</v>
      </c>
      <c r="AC302" s="335"/>
      <c r="AD302" s="335">
        <f t="shared" si="147"/>
        <v>19.819702242165615</v>
      </c>
      <c r="AE302" s="335">
        <f t="shared" si="153"/>
        <v>207.3554841428495</v>
      </c>
      <c r="AF302" s="360">
        <f t="shared" si="135"/>
        <v>2171.0087849170245</v>
      </c>
      <c r="AH302" s="359">
        <f t="shared" si="148"/>
        <v>50099</v>
      </c>
      <c r="AI302" s="334">
        <f t="shared" si="136"/>
        <v>290</v>
      </c>
      <c r="AJ302" s="335">
        <f t="shared" si="137"/>
        <v>227.1751863850151</v>
      </c>
      <c r="AK302" s="335"/>
      <c r="AL302" s="335">
        <f t="shared" si="149"/>
        <v>19.819702242165615</v>
      </c>
      <c r="AM302" s="335">
        <f t="shared" si="154"/>
        <v>207.3554841428495</v>
      </c>
      <c r="AN302" s="360">
        <f t="shared" si="138"/>
        <v>2171.0087849170245</v>
      </c>
    </row>
    <row r="303" spans="1:40" ht="12.75">
      <c r="A303" s="359">
        <f t="shared" si="139"/>
        <v>50130</v>
      </c>
      <c r="B303" s="334">
        <f t="shared" si="124"/>
        <v>291</v>
      </c>
      <c r="C303" s="335">
        <f t="shared" si="125"/>
        <v>227.1751863850151</v>
      </c>
      <c r="D303" s="335"/>
      <c r="E303" s="335">
        <f t="shared" si="140"/>
        <v>18.091739874308537</v>
      </c>
      <c r="F303" s="335">
        <f t="shared" si="150"/>
        <v>209.08344651070658</v>
      </c>
      <c r="G303" s="360">
        <f t="shared" si="126"/>
        <v>1961.925338406318</v>
      </c>
      <c r="H303" s="336" t="e">
        <f t="shared" si="141"/>
        <v>#VALUE!</v>
      </c>
      <c r="I303" s="333"/>
      <c r="J303" s="359">
        <f t="shared" si="142"/>
        <v>50130</v>
      </c>
      <c r="K303" s="334">
        <f t="shared" si="127"/>
        <v>291</v>
      </c>
      <c r="L303" s="335">
        <f t="shared" si="128"/>
        <v>227.1751863850151</v>
      </c>
      <c r="M303" s="335"/>
      <c r="N303" s="335">
        <f t="shared" si="143"/>
        <v>18.091739874308537</v>
      </c>
      <c r="O303" s="335">
        <f t="shared" si="151"/>
        <v>209.08344651070658</v>
      </c>
      <c r="P303" s="360">
        <f t="shared" si="129"/>
        <v>1961.925338406318</v>
      </c>
      <c r="R303" s="359">
        <f t="shared" si="144"/>
        <v>50130</v>
      </c>
      <c r="S303" s="334">
        <f t="shared" si="130"/>
        <v>291</v>
      </c>
      <c r="T303" s="335">
        <f t="shared" si="131"/>
        <v>227.1751863850151</v>
      </c>
      <c r="U303" s="335"/>
      <c r="V303" s="335">
        <f t="shared" si="145"/>
        <v>18.091739874308537</v>
      </c>
      <c r="W303" s="335">
        <f t="shared" si="152"/>
        <v>209.08344651070658</v>
      </c>
      <c r="X303" s="360">
        <f t="shared" si="132"/>
        <v>1961.925338406318</v>
      </c>
      <c r="Z303" s="359">
        <f t="shared" si="146"/>
        <v>50130</v>
      </c>
      <c r="AA303" s="334">
        <f t="shared" si="133"/>
        <v>291</v>
      </c>
      <c r="AB303" s="335">
        <f t="shared" si="134"/>
        <v>227.1751863850151</v>
      </c>
      <c r="AC303" s="335"/>
      <c r="AD303" s="335">
        <f t="shared" si="147"/>
        <v>18.091739874308537</v>
      </c>
      <c r="AE303" s="335">
        <f t="shared" si="153"/>
        <v>209.08344651070658</v>
      </c>
      <c r="AF303" s="360">
        <f t="shared" si="135"/>
        <v>1961.925338406318</v>
      </c>
      <c r="AH303" s="359">
        <f t="shared" si="148"/>
        <v>50130</v>
      </c>
      <c r="AI303" s="334">
        <f t="shared" si="136"/>
        <v>291</v>
      </c>
      <c r="AJ303" s="335">
        <f t="shared" si="137"/>
        <v>227.1751863850151</v>
      </c>
      <c r="AK303" s="335"/>
      <c r="AL303" s="335">
        <f t="shared" si="149"/>
        <v>18.091739874308537</v>
      </c>
      <c r="AM303" s="335">
        <f t="shared" si="154"/>
        <v>209.08344651070658</v>
      </c>
      <c r="AN303" s="360">
        <f t="shared" si="138"/>
        <v>1961.925338406318</v>
      </c>
    </row>
    <row r="304" spans="1:40" ht="12.75">
      <c r="A304" s="359">
        <f t="shared" si="139"/>
        <v>50160</v>
      </c>
      <c r="B304" s="334">
        <f t="shared" si="124"/>
        <v>292</v>
      </c>
      <c r="C304" s="335">
        <f t="shared" si="125"/>
        <v>227.1751863850151</v>
      </c>
      <c r="D304" s="335"/>
      <c r="E304" s="335">
        <f t="shared" si="140"/>
        <v>16.34937782005265</v>
      </c>
      <c r="F304" s="335">
        <f t="shared" si="150"/>
        <v>210.82580856496247</v>
      </c>
      <c r="G304" s="360">
        <f t="shared" si="126"/>
        <v>1751.0995298413554</v>
      </c>
      <c r="H304" s="336" t="e">
        <f t="shared" si="141"/>
        <v>#VALUE!</v>
      </c>
      <c r="I304" s="333"/>
      <c r="J304" s="359">
        <f t="shared" si="142"/>
        <v>50160</v>
      </c>
      <c r="K304" s="334">
        <f t="shared" si="127"/>
        <v>292</v>
      </c>
      <c r="L304" s="335">
        <f t="shared" si="128"/>
        <v>227.1751863850151</v>
      </c>
      <c r="M304" s="335"/>
      <c r="N304" s="335">
        <f t="shared" si="143"/>
        <v>16.34937782005265</v>
      </c>
      <c r="O304" s="335">
        <f t="shared" si="151"/>
        <v>210.82580856496247</v>
      </c>
      <c r="P304" s="360">
        <f t="shared" si="129"/>
        <v>1751.0995298413554</v>
      </c>
      <c r="R304" s="359">
        <f t="shared" si="144"/>
        <v>50160</v>
      </c>
      <c r="S304" s="334">
        <f t="shared" si="130"/>
        <v>292</v>
      </c>
      <c r="T304" s="335">
        <f t="shared" si="131"/>
        <v>227.1751863850151</v>
      </c>
      <c r="U304" s="335"/>
      <c r="V304" s="335">
        <f t="shared" si="145"/>
        <v>16.34937782005265</v>
      </c>
      <c r="W304" s="335">
        <f t="shared" si="152"/>
        <v>210.82580856496247</v>
      </c>
      <c r="X304" s="360">
        <f t="shared" si="132"/>
        <v>1751.0995298413554</v>
      </c>
      <c r="Z304" s="359">
        <f t="shared" si="146"/>
        <v>50160</v>
      </c>
      <c r="AA304" s="334">
        <f t="shared" si="133"/>
        <v>292</v>
      </c>
      <c r="AB304" s="335">
        <f t="shared" si="134"/>
        <v>227.1751863850151</v>
      </c>
      <c r="AC304" s="335"/>
      <c r="AD304" s="335">
        <f t="shared" si="147"/>
        <v>16.34937782005265</v>
      </c>
      <c r="AE304" s="335">
        <f t="shared" si="153"/>
        <v>210.82580856496247</v>
      </c>
      <c r="AF304" s="360">
        <f t="shared" si="135"/>
        <v>1751.0995298413554</v>
      </c>
      <c r="AH304" s="359">
        <f t="shared" si="148"/>
        <v>50160</v>
      </c>
      <c r="AI304" s="334">
        <f t="shared" si="136"/>
        <v>292</v>
      </c>
      <c r="AJ304" s="335">
        <f t="shared" si="137"/>
        <v>227.1751863850151</v>
      </c>
      <c r="AK304" s="335"/>
      <c r="AL304" s="335">
        <f t="shared" si="149"/>
        <v>16.34937782005265</v>
      </c>
      <c r="AM304" s="335">
        <f t="shared" si="154"/>
        <v>210.82580856496247</v>
      </c>
      <c r="AN304" s="360">
        <f t="shared" si="138"/>
        <v>1751.0995298413554</v>
      </c>
    </row>
    <row r="305" spans="1:40" ht="12.75">
      <c r="A305" s="359">
        <f t="shared" si="139"/>
        <v>50191</v>
      </c>
      <c r="B305" s="334">
        <f t="shared" si="124"/>
        <v>293</v>
      </c>
      <c r="C305" s="335">
        <f t="shared" si="125"/>
        <v>227.1751863850151</v>
      </c>
      <c r="D305" s="335"/>
      <c r="E305" s="335">
        <f t="shared" si="140"/>
        <v>14.592496082011294</v>
      </c>
      <c r="F305" s="335">
        <f t="shared" si="150"/>
        <v>212.5826903030038</v>
      </c>
      <c r="G305" s="360">
        <f t="shared" si="126"/>
        <v>1538.5168395383516</v>
      </c>
      <c r="H305" s="336" t="e">
        <f t="shared" si="141"/>
        <v>#VALUE!</v>
      </c>
      <c r="I305" s="333"/>
      <c r="J305" s="359">
        <f t="shared" si="142"/>
        <v>50191</v>
      </c>
      <c r="K305" s="334">
        <f t="shared" si="127"/>
        <v>293</v>
      </c>
      <c r="L305" s="335">
        <f t="shared" si="128"/>
        <v>227.1751863850151</v>
      </c>
      <c r="M305" s="335"/>
      <c r="N305" s="335">
        <f t="shared" si="143"/>
        <v>14.592496082011294</v>
      </c>
      <c r="O305" s="335">
        <f t="shared" si="151"/>
        <v>212.5826903030038</v>
      </c>
      <c r="P305" s="360">
        <f t="shared" si="129"/>
        <v>1538.5168395383516</v>
      </c>
      <c r="R305" s="359">
        <f t="shared" si="144"/>
        <v>50191</v>
      </c>
      <c r="S305" s="334">
        <f t="shared" si="130"/>
        <v>293</v>
      </c>
      <c r="T305" s="335">
        <f t="shared" si="131"/>
        <v>227.1751863850151</v>
      </c>
      <c r="U305" s="335"/>
      <c r="V305" s="335">
        <f t="shared" si="145"/>
        <v>14.592496082011294</v>
      </c>
      <c r="W305" s="335">
        <f t="shared" si="152"/>
        <v>212.5826903030038</v>
      </c>
      <c r="X305" s="360">
        <f t="shared" si="132"/>
        <v>1538.5168395383516</v>
      </c>
      <c r="Z305" s="359">
        <f t="shared" si="146"/>
        <v>50191</v>
      </c>
      <c r="AA305" s="334">
        <f t="shared" si="133"/>
        <v>293</v>
      </c>
      <c r="AB305" s="335">
        <f t="shared" si="134"/>
        <v>227.1751863850151</v>
      </c>
      <c r="AC305" s="335"/>
      <c r="AD305" s="335">
        <f t="shared" si="147"/>
        <v>14.592496082011294</v>
      </c>
      <c r="AE305" s="335">
        <f t="shared" si="153"/>
        <v>212.5826903030038</v>
      </c>
      <c r="AF305" s="360">
        <f t="shared" si="135"/>
        <v>1538.5168395383516</v>
      </c>
      <c r="AH305" s="359">
        <f t="shared" si="148"/>
        <v>50191</v>
      </c>
      <c r="AI305" s="334">
        <f t="shared" si="136"/>
        <v>293</v>
      </c>
      <c r="AJ305" s="335">
        <f t="shared" si="137"/>
        <v>227.1751863850151</v>
      </c>
      <c r="AK305" s="335"/>
      <c r="AL305" s="335">
        <f t="shared" si="149"/>
        <v>14.592496082011294</v>
      </c>
      <c r="AM305" s="335">
        <f t="shared" si="154"/>
        <v>212.5826903030038</v>
      </c>
      <c r="AN305" s="360">
        <f t="shared" si="138"/>
        <v>1538.5168395383516</v>
      </c>
    </row>
    <row r="306" spans="1:40" ht="12.75">
      <c r="A306" s="359">
        <f t="shared" si="139"/>
        <v>50221</v>
      </c>
      <c r="B306" s="334">
        <f t="shared" si="124"/>
        <v>294</v>
      </c>
      <c r="C306" s="335">
        <f t="shared" si="125"/>
        <v>227.1751863850151</v>
      </c>
      <c r="D306" s="335"/>
      <c r="E306" s="335">
        <f t="shared" si="140"/>
        <v>12.820973662819597</v>
      </c>
      <c r="F306" s="335">
        <f t="shared" si="150"/>
        <v>214.3542127221955</v>
      </c>
      <c r="G306" s="360">
        <f t="shared" si="126"/>
        <v>1324.162626816156</v>
      </c>
      <c r="H306" s="336" t="e">
        <f t="shared" si="141"/>
        <v>#VALUE!</v>
      </c>
      <c r="I306" s="333"/>
      <c r="J306" s="359">
        <f t="shared" si="142"/>
        <v>50221</v>
      </c>
      <c r="K306" s="334">
        <f t="shared" si="127"/>
        <v>294</v>
      </c>
      <c r="L306" s="335">
        <f t="shared" si="128"/>
        <v>227.1751863850151</v>
      </c>
      <c r="M306" s="335"/>
      <c r="N306" s="335">
        <f t="shared" si="143"/>
        <v>12.820973662819597</v>
      </c>
      <c r="O306" s="335">
        <f t="shared" si="151"/>
        <v>214.3542127221955</v>
      </c>
      <c r="P306" s="360">
        <f t="shared" si="129"/>
        <v>1324.162626816156</v>
      </c>
      <c r="R306" s="359">
        <f t="shared" si="144"/>
        <v>50221</v>
      </c>
      <c r="S306" s="334">
        <f t="shared" si="130"/>
        <v>294</v>
      </c>
      <c r="T306" s="335">
        <f t="shared" si="131"/>
        <v>227.1751863850151</v>
      </c>
      <c r="U306" s="335"/>
      <c r="V306" s="335">
        <f t="shared" si="145"/>
        <v>12.820973662819597</v>
      </c>
      <c r="W306" s="335">
        <f t="shared" si="152"/>
        <v>214.3542127221955</v>
      </c>
      <c r="X306" s="360">
        <f t="shared" si="132"/>
        <v>1324.162626816156</v>
      </c>
      <c r="Z306" s="359">
        <f t="shared" si="146"/>
        <v>50221</v>
      </c>
      <c r="AA306" s="334">
        <f t="shared" si="133"/>
        <v>294</v>
      </c>
      <c r="AB306" s="335">
        <f t="shared" si="134"/>
        <v>227.1751863850151</v>
      </c>
      <c r="AC306" s="335"/>
      <c r="AD306" s="335">
        <f t="shared" si="147"/>
        <v>12.820973662819597</v>
      </c>
      <c r="AE306" s="335">
        <f t="shared" si="153"/>
        <v>214.3542127221955</v>
      </c>
      <c r="AF306" s="360">
        <f t="shared" si="135"/>
        <v>1324.162626816156</v>
      </c>
      <c r="AH306" s="359">
        <f t="shared" si="148"/>
        <v>50221</v>
      </c>
      <c r="AI306" s="334">
        <f t="shared" si="136"/>
        <v>294</v>
      </c>
      <c r="AJ306" s="335">
        <f t="shared" si="137"/>
        <v>227.1751863850151</v>
      </c>
      <c r="AK306" s="335"/>
      <c r="AL306" s="335">
        <f t="shared" si="149"/>
        <v>12.820973662819597</v>
      </c>
      <c r="AM306" s="335">
        <f t="shared" si="154"/>
        <v>214.3542127221955</v>
      </c>
      <c r="AN306" s="360">
        <f t="shared" si="138"/>
        <v>1324.162626816156</v>
      </c>
    </row>
    <row r="307" spans="1:40" ht="12.75">
      <c r="A307" s="359">
        <f t="shared" si="139"/>
        <v>50252</v>
      </c>
      <c r="B307" s="334">
        <f t="shared" si="124"/>
        <v>295</v>
      </c>
      <c r="C307" s="335">
        <f t="shared" si="125"/>
        <v>227.1751863850151</v>
      </c>
      <c r="D307" s="335"/>
      <c r="E307" s="335">
        <f t="shared" si="140"/>
        <v>11.0346885568013</v>
      </c>
      <c r="F307" s="335">
        <f t="shared" si="150"/>
        <v>216.14049782821382</v>
      </c>
      <c r="G307" s="360">
        <f t="shared" si="126"/>
        <v>1108.0221289879423</v>
      </c>
      <c r="H307" s="336" t="e">
        <f t="shared" si="141"/>
        <v>#VALUE!</v>
      </c>
      <c r="I307" s="333"/>
      <c r="J307" s="359">
        <f t="shared" si="142"/>
        <v>50252</v>
      </c>
      <c r="K307" s="334">
        <f t="shared" si="127"/>
        <v>295</v>
      </c>
      <c r="L307" s="335">
        <f t="shared" si="128"/>
        <v>227.1751863850151</v>
      </c>
      <c r="M307" s="335"/>
      <c r="N307" s="335">
        <f t="shared" si="143"/>
        <v>11.0346885568013</v>
      </c>
      <c r="O307" s="335">
        <f t="shared" si="151"/>
        <v>216.14049782821382</v>
      </c>
      <c r="P307" s="360">
        <f t="shared" si="129"/>
        <v>1108.0221289879423</v>
      </c>
      <c r="R307" s="359">
        <f t="shared" si="144"/>
        <v>50252</v>
      </c>
      <c r="S307" s="334">
        <f t="shared" si="130"/>
        <v>295</v>
      </c>
      <c r="T307" s="335">
        <f t="shared" si="131"/>
        <v>227.1751863850151</v>
      </c>
      <c r="U307" s="335"/>
      <c r="V307" s="335">
        <f t="shared" si="145"/>
        <v>11.0346885568013</v>
      </c>
      <c r="W307" s="335">
        <f t="shared" si="152"/>
        <v>216.14049782821382</v>
      </c>
      <c r="X307" s="360">
        <f t="shared" si="132"/>
        <v>1108.0221289879423</v>
      </c>
      <c r="Z307" s="359">
        <f t="shared" si="146"/>
        <v>50252</v>
      </c>
      <c r="AA307" s="334">
        <f t="shared" si="133"/>
        <v>295</v>
      </c>
      <c r="AB307" s="335">
        <f t="shared" si="134"/>
        <v>227.1751863850151</v>
      </c>
      <c r="AC307" s="335"/>
      <c r="AD307" s="335">
        <f t="shared" si="147"/>
        <v>11.0346885568013</v>
      </c>
      <c r="AE307" s="335">
        <f t="shared" si="153"/>
        <v>216.14049782821382</v>
      </c>
      <c r="AF307" s="360">
        <f t="shared" si="135"/>
        <v>1108.0221289879423</v>
      </c>
      <c r="AH307" s="359">
        <f t="shared" si="148"/>
        <v>50252</v>
      </c>
      <c r="AI307" s="334">
        <f t="shared" si="136"/>
        <v>295</v>
      </c>
      <c r="AJ307" s="335">
        <f t="shared" si="137"/>
        <v>227.1751863850151</v>
      </c>
      <c r="AK307" s="335"/>
      <c r="AL307" s="335">
        <f t="shared" si="149"/>
        <v>11.0346885568013</v>
      </c>
      <c r="AM307" s="335">
        <f t="shared" si="154"/>
        <v>216.14049782821382</v>
      </c>
      <c r="AN307" s="360">
        <f t="shared" si="138"/>
        <v>1108.0221289879423</v>
      </c>
    </row>
    <row r="308" spans="1:40" ht="12.75">
      <c r="A308" s="359">
        <f t="shared" si="139"/>
        <v>50283</v>
      </c>
      <c r="B308" s="334">
        <f t="shared" si="124"/>
        <v>296</v>
      </c>
      <c r="C308" s="335">
        <f t="shared" si="125"/>
        <v>227.1751863850151</v>
      </c>
      <c r="D308" s="335"/>
      <c r="E308" s="335">
        <f t="shared" si="140"/>
        <v>9.233517741566185</v>
      </c>
      <c r="F308" s="335">
        <f t="shared" si="150"/>
        <v>217.94166864344893</v>
      </c>
      <c r="G308" s="360">
        <f t="shared" si="126"/>
        <v>890.0804603444934</v>
      </c>
      <c r="H308" s="336" t="e">
        <f t="shared" si="141"/>
        <v>#VALUE!</v>
      </c>
      <c r="I308" s="333"/>
      <c r="J308" s="359">
        <f t="shared" si="142"/>
        <v>50283</v>
      </c>
      <c r="K308" s="334">
        <f t="shared" si="127"/>
        <v>296</v>
      </c>
      <c r="L308" s="335">
        <f t="shared" si="128"/>
        <v>227.1751863850151</v>
      </c>
      <c r="M308" s="335"/>
      <c r="N308" s="335">
        <f t="shared" si="143"/>
        <v>9.233517741566185</v>
      </c>
      <c r="O308" s="335">
        <f t="shared" si="151"/>
        <v>217.94166864344893</v>
      </c>
      <c r="P308" s="360">
        <f t="shared" si="129"/>
        <v>890.0804603444934</v>
      </c>
      <c r="R308" s="359">
        <f t="shared" si="144"/>
        <v>50283</v>
      </c>
      <c r="S308" s="334">
        <f t="shared" si="130"/>
        <v>296</v>
      </c>
      <c r="T308" s="335">
        <f t="shared" si="131"/>
        <v>227.1751863850151</v>
      </c>
      <c r="U308" s="335"/>
      <c r="V308" s="335">
        <f t="shared" si="145"/>
        <v>9.233517741566185</v>
      </c>
      <c r="W308" s="335">
        <f t="shared" si="152"/>
        <v>217.94166864344893</v>
      </c>
      <c r="X308" s="360">
        <f t="shared" si="132"/>
        <v>890.0804603444934</v>
      </c>
      <c r="Z308" s="359">
        <f t="shared" si="146"/>
        <v>50283</v>
      </c>
      <c r="AA308" s="334">
        <f t="shared" si="133"/>
        <v>296</v>
      </c>
      <c r="AB308" s="335">
        <f t="shared" si="134"/>
        <v>227.1751863850151</v>
      </c>
      <c r="AC308" s="335"/>
      <c r="AD308" s="335">
        <f t="shared" si="147"/>
        <v>9.233517741566185</v>
      </c>
      <c r="AE308" s="335">
        <f t="shared" si="153"/>
        <v>217.94166864344893</v>
      </c>
      <c r="AF308" s="360">
        <f t="shared" si="135"/>
        <v>890.0804603444934</v>
      </c>
      <c r="AH308" s="359">
        <f t="shared" si="148"/>
        <v>50283</v>
      </c>
      <c r="AI308" s="334">
        <f t="shared" si="136"/>
        <v>296</v>
      </c>
      <c r="AJ308" s="335">
        <f t="shared" si="137"/>
        <v>227.1751863850151</v>
      </c>
      <c r="AK308" s="335"/>
      <c r="AL308" s="335">
        <f t="shared" si="149"/>
        <v>9.233517741566185</v>
      </c>
      <c r="AM308" s="335">
        <f t="shared" si="154"/>
        <v>217.94166864344893</v>
      </c>
      <c r="AN308" s="360">
        <f t="shared" si="138"/>
        <v>890.0804603444934</v>
      </c>
    </row>
    <row r="309" spans="1:40" ht="12.75">
      <c r="A309" s="359">
        <f t="shared" si="139"/>
        <v>50313</v>
      </c>
      <c r="B309" s="334">
        <f t="shared" si="124"/>
        <v>297</v>
      </c>
      <c r="C309" s="335">
        <f t="shared" si="125"/>
        <v>227.1751863850151</v>
      </c>
      <c r="D309" s="335"/>
      <c r="E309" s="335">
        <f t="shared" si="140"/>
        <v>7.417337169537445</v>
      </c>
      <c r="F309" s="335">
        <f t="shared" si="150"/>
        <v>219.75784921547768</v>
      </c>
      <c r="G309" s="360">
        <f t="shared" si="126"/>
        <v>670.3226111290157</v>
      </c>
      <c r="H309" s="336" t="e">
        <f t="shared" si="141"/>
        <v>#VALUE!</v>
      </c>
      <c r="I309" s="333"/>
      <c r="J309" s="359">
        <f t="shared" si="142"/>
        <v>50313</v>
      </c>
      <c r="K309" s="334">
        <f t="shared" si="127"/>
        <v>297</v>
      </c>
      <c r="L309" s="335">
        <f t="shared" si="128"/>
        <v>227.1751863850151</v>
      </c>
      <c r="M309" s="335"/>
      <c r="N309" s="335">
        <f t="shared" si="143"/>
        <v>7.417337169537445</v>
      </c>
      <c r="O309" s="335">
        <f t="shared" si="151"/>
        <v>219.75784921547768</v>
      </c>
      <c r="P309" s="360">
        <f t="shared" si="129"/>
        <v>670.3226111290157</v>
      </c>
      <c r="R309" s="359">
        <f t="shared" si="144"/>
        <v>50313</v>
      </c>
      <c r="S309" s="334">
        <f t="shared" si="130"/>
        <v>297</v>
      </c>
      <c r="T309" s="335">
        <f t="shared" si="131"/>
        <v>227.1751863850151</v>
      </c>
      <c r="U309" s="335"/>
      <c r="V309" s="335">
        <f t="shared" si="145"/>
        <v>7.417337169537445</v>
      </c>
      <c r="W309" s="335">
        <f t="shared" si="152"/>
        <v>219.75784921547768</v>
      </c>
      <c r="X309" s="360">
        <f t="shared" si="132"/>
        <v>670.3226111290157</v>
      </c>
      <c r="Z309" s="359">
        <f t="shared" si="146"/>
        <v>50313</v>
      </c>
      <c r="AA309" s="334">
        <f t="shared" si="133"/>
        <v>297</v>
      </c>
      <c r="AB309" s="335">
        <f t="shared" si="134"/>
        <v>227.1751863850151</v>
      </c>
      <c r="AC309" s="335"/>
      <c r="AD309" s="335">
        <f t="shared" si="147"/>
        <v>7.417337169537445</v>
      </c>
      <c r="AE309" s="335">
        <f t="shared" si="153"/>
        <v>219.75784921547768</v>
      </c>
      <c r="AF309" s="360">
        <f t="shared" si="135"/>
        <v>670.3226111290157</v>
      </c>
      <c r="AH309" s="359">
        <f t="shared" si="148"/>
        <v>50313</v>
      </c>
      <c r="AI309" s="334">
        <f t="shared" si="136"/>
        <v>297</v>
      </c>
      <c r="AJ309" s="335">
        <f t="shared" si="137"/>
        <v>227.1751863850151</v>
      </c>
      <c r="AK309" s="335"/>
      <c r="AL309" s="335">
        <f t="shared" si="149"/>
        <v>7.417337169537445</v>
      </c>
      <c r="AM309" s="335">
        <f t="shared" si="154"/>
        <v>219.75784921547768</v>
      </c>
      <c r="AN309" s="360">
        <f t="shared" si="138"/>
        <v>670.3226111290157</v>
      </c>
    </row>
    <row r="310" spans="1:40" ht="12.75">
      <c r="A310" s="359">
        <f t="shared" si="139"/>
        <v>50344</v>
      </c>
      <c r="B310" s="334">
        <f t="shared" si="124"/>
        <v>298</v>
      </c>
      <c r="C310" s="335">
        <f t="shared" si="125"/>
        <v>227.1751863850151</v>
      </c>
      <c r="D310" s="335"/>
      <c r="E310" s="335">
        <f t="shared" si="140"/>
        <v>5.586021759408465</v>
      </c>
      <c r="F310" s="335">
        <f t="shared" si="150"/>
        <v>221.58916462560666</v>
      </c>
      <c r="G310" s="360">
        <f t="shared" si="126"/>
        <v>448.7334465034091</v>
      </c>
      <c r="H310" s="336" t="e">
        <f t="shared" si="141"/>
        <v>#VALUE!</v>
      </c>
      <c r="I310" s="333"/>
      <c r="J310" s="359">
        <f t="shared" si="142"/>
        <v>50344</v>
      </c>
      <c r="K310" s="334">
        <f t="shared" si="127"/>
        <v>298</v>
      </c>
      <c r="L310" s="335">
        <f t="shared" si="128"/>
        <v>227.1751863850151</v>
      </c>
      <c r="M310" s="335"/>
      <c r="N310" s="335">
        <f t="shared" si="143"/>
        <v>5.586021759408465</v>
      </c>
      <c r="O310" s="335">
        <f t="shared" si="151"/>
        <v>221.58916462560666</v>
      </c>
      <c r="P310" s="360">
        <f t="shared" si="129"/>
        <v>448.7334465034091</v>
      </c>
      <c r="R310" s="359">
        <f t="shared" si="144"/>
        <v>50344</v>
      </c>
      <c r="S310" s="334">
        <f t="shared" si="130"/>
        <v>298</v>
      </c>
      <c r="T310" s="335">
        <f t="shared" si="131"/>
        <v>227.1751863850151</v>
      </c>
      <c r="U310" s="335"/>
      <c r="V310" s="335">
        <f t="shared" si="145"/>
        <v>5.586021759408465</v>
      </c>
      <c r="W310" s="335">
        <f t="shared" si="152"/>
        <v>221.58916462560666</v>
      </c>
      <c r="X310" s="360">
        <f t="shared" si="132"/>
        <v>448.7334465034091</v>
      </c>
      <c r="Z310" s="359">
        <f t="shared" si="146"/>
        <v>50344</v>
      </c>
      <c r="AA310" s="334">
        <f t="shared" si="133"/>
        <v>298</v>
      </c>
      <c r="AB310" s="335">
        <f t="shared" si="134"/>
        <v>227.1751863850151</v>
      </c>
      <c r="AC310" s="335"/>
      <c r="AD310" s="335">
        <f t="shared" si="147"/>
        <v>5.586021759408465</v>
      </c>
      <c r="AE310" s="335">
        <f t="shared" si="153"/>
        <v>221.58916462560666</v>
      </c>
      <c r="AF310" s="360">
        <f t="shared" si="135"/>
        <v>448.7334465034091</v>
      </c>
      <c r="AH310" s="359">
        <f t="shared" si="148"/>
        <v>50344</v>
      </c>
      <c r="AI310" s="334">
        <f t="shared" si="136"/>
        <v>298</v>
      </c>
      <c r="AJ310" s="335">
        <f t="shared" si="137"/>
        <v>227.1751863850151</v>
      </c>
      <c r="AK310" s="335"/>
      <c r="AL310" s="335">
        <f t="shared" si="149"/>
        <v>5.586021759408465</v>
      </c>
      <c r="AM310" s="335">
        <f t="shared" si="154"/>
        <v>221.58916462560666</v>
      </c>
      <c r="AN310" s="360">
        <f t="shared" si="138"/>
        <v>448.7334465034091</v>
      </c>
    </row>
    <row r="311" spans="1:40" ht="12.75">
      <c r="A311" s="359">
        <f t="shared" si="139"/>
        <v>50374</v>
      </c>
      <c r="B311" s="334">
        <f t="shared" si="124"/>
        <v>299</v>
      </c>
      <c r="C311" s="335">
        <f t="shared" si="125"/>
        <v>227.1751863850151</v>
      </c>
      <c r="D311" s="335"/>
      <c r="E311" s="335">
        <f t="shared" si="140"/>
        <v>3.739445387528409</v>
      </c>
      <c r="F311" s="335">
        <f t="shared" si="150"/>
        <v>223.4357409974867</v>
      </c>
      <c r="G311" s="360">
        <f t="shared" si="126"/>
        <v>225.29770550592238</v>
      </c>
      <c r="H311" s="336" t="e">
        <f t="shared" si="141"/>
        <v>#VALUE!</v>
      </c>
      <c r="I311" s="333"/>
      <c r="J311" s="359">
        <f t="shared" si="142"/>
        <v>50374</v>
      </c>
      <c r="K311" s="334">
        <f t="shared" si="127"/>
        <v>299</v>
      </c>
      <c r="L311" s="335">
        <f t="shared" si="128"/>
        <v>227.1751863850151</v>
      </c>
      <c r="M311" s="335"/>
      <c r="N311" s="335">
        <f t="shared" si="143"/>
        <v>3.739445387528409</v>
      </c>
      <c r="O311" s="335">
        <f t="shared" si="151"/>
        <v>223.4357409974867</v>
      </c>
      <c r="P311" s="360">
        <f t="shared" si="129"/>
        <v>225.29770550592238</v>
      </c>
      <c r="R311" s="359">
        <f t="shared" si="144"/>
        <v>50374</v>
      </c>
      <c r="S311" s="334">
        <f t="shared" si="130"/>
        <v>299</v>
      </c>
      <c r="T311" s="335">
        <f t="shared" si="131"/>
        <v>227.1751863850151</v>
      </c>
      <c r="U311" s="335"/>
      <c r="V311" s="335">
        <f t="shared" si="145"/>
        <v>3.739445387528409</v>
      </c>
      <c r="W311" s="335">
        <f t="shared" si="152"/>
        <v>223.4357409974867</v>
      </c>
      <c r="X311" s="360">
        <f t="shared" si="132"/>
        <v>225.29770550592238</v>
      </c>
      <c r="Z311" s="359">
        <f t="shared" si="146"/>
        <v>50374</v>
      </c>
      <c r="AA311" s="334">
        <f t="shared" si="133"/>
        <v>299</v>
      </c>
      <c r="AB311" s="335">
        <f t="shared" si="134"/>
        <v>227.1751863850151</v>
      </c>
      <c r="AC311" s="335"/>
      <c r="AD311" s="335">
        <f t="shared" si="147"/>
        <v>3.739445387528409</v>
      </c>
      <c r="AE311" s="335">
        <f t="shared" si="153"/>
        <v>223.4357409974867</v>
      </c>
      <c r="AF311" s="360">
        <f t="shared" si="135"/>
        <v>225.29770550592238</v>
      </c>
      <c r="AH311" s="359">
        <f t="shared" si="148"/>
        <v>50374</v>
      </c>
      <c r="AI311" s="334">
        <f t="shared" si="136"/>
        <v>299</v>
      </c>
      <c r="AJ311" s="335">
        <f t="shared" si="137"/>
        <v>227.1751863850151</v>
      </c>
      <c r="AK311" s="335"/>
      <c r="AL311" s="335">
        <f t="shared" si="149"/>
        <v>3.739445387528409</v>
      </c>
      <c r="AM311" s="335">
        <f t="shared" si="154"/>
        <v>223.4357409974867</v>
      </c>
      <c r="AN311" s="360">
        <f t="shared" si="138"/>
        <v>225.29770550592238</v>
      </c>
    </row>
    <row r="312" spans="1:40" ht="12.75">
      <c r="A312" s="359">
        <f t="shared" si="139"/>
        <v>50405</v>
      </c>
      <c r="B312" s="334">
        <f t="shared" si="124"/>
        <v>300</v>
      </c>
      <c r="C312" s="335">
        <f t="shared" si="125"/>
        <v>227.1751863850151</v>
      </c>
      <c r="D312" s="335"/>
      <c r="E312" s="335">
        <f t="shared" si="140"/>
        <v>1.8774808792160198</v>
      </c>
      <c r="F312" s="335">
        <f t="shared" si="150"/>
        <v>225.2977055057991</v>
      </c>
      <c r="G312" s="360">
        <f t="shared" si="126"/>
        <v>1.2329337550909258E-10</v>
      </c>
      <c r="H312" s="336" t="e">
        <f t="shared" si="141"/>
        <v>#VALUE!</v>
      </c>
      <c r="I312" s="333"/>
      <c r="J312" s="359">
        <f t="shared" si="142"/>
        <v>50405</v>
      </c>
      <c r="K312" s="334">
        <f t="shared" si="127"/>
        <v>300</v>
      </c>
      <c r="L312" s="335">
        <f t="shared" si="128"/>
        <v>227.1751863850151</v>
      </c>
      <c r="M312" s="335"/>
      <c r="N312" s="335">
        <f t="shared" si="143"/>
        <v>1.8774808792160198</v>
      </c>
      <c r="O312" s="335">
        <f t="shared" si="151"/>
        <v>225.2977055057991</v>
      </c>
      <c r="P312" s="360">
        <f t="shared" si="129"/>
        <v>1.2329337550909258E-10</v>
      </c>
      <c r="R312" s="359">
        <f t="shared" si="144"/>
        <v>50405</v>
      </c>
      <c r="S312" s="334">
        <f t="shared" si="130"/>
        <v>300</v>
      </c>
      <c r="T312" s="335">
        <f t="shared" si="131"/>
        <v>227.1751863850151</v>
      </c>
      <c r="U312" s="335"/>
      <c r="V312" s="335">
        <f t="shared" si="145"/>
        <v>1.8774808792160198</v>
      </c>
      <c r="W312" s="335">
        <f t="shared" si="152"/>
        <v>225.2977055057991</v>
      </c>
      <c r="X312" s="360">
        <f t="shared" si="132"/>
        <v>1.2329337550909258E-10</v>
      </c>
      <c r="Z312" s="359">
        <f t="shared" si="146"/>
        <v>50405</v>
      </c>
      <c r="AA312" s="334">
        <f t="shared" si="133"/>
        <v>300</v>
      </c>
      <c r="AB312" s="335">
        <f t="shared" si="134"/>
        <v>227.1751863850151</v>
      </c>
      <c r="AC312" s="335"/>
      <c r="AD312" s="335">
        <f t="shared" si="147"/>
        <v>1.8774808792160198</v>
      </c>
      <c r="AE312" s="335">
        <f t="shared" si="153"/>
        <v>225.2977055057991</v>
      </c>
      <c r="AF312" s="360">
        <f t="shared" si="135"/>
        <v>1.2329337550909258E-10</v>
      </c>
      <c r="AH312" s="359">
        <f t="shared" si="148"/>
        <v>50405</v>
      </c>
      <c r="AI312" s="334">
        <f t="shared" si="136"/>
        <v>300</v>
      </c>
      <c r="AJ312" s="335">
        <f t="shared" si="137"/>
        <v>227.1751863850151</v>
      </c>
      <c r="AK312" s="335"/>
      <c r="AL312" s="335">
        <f t="shared" si="149"/>
        <v>1.8774808792160198</v>
      </c>
      <c r="AM312" s="335">
        <f t="shared" si="154"/>
        <v>225.2977055057991</v>
      </c>
      <c r="AN312" s="360">
        <f t="shared" si="138"/>
        <v>1.2329337550909258E-10</v>
      </c>
    </row>
    <row r="313" spans="1:40" ht="12.75">
      <c r="A313" s="359">
        <f t="shared" si="139"/>
        <v>50436</v>
      </c>
      <c r="B313" s="334">
        <f t="shared" si="124"/>
        <v>301</v>
      </c>
      <c r="C313" s="335">
        <f t="shared" si="125"/>
      </c>
      <c r="D313" s="335"/>
      <c r="E313" s="335">
        <f t="shared" si="140"/>
      </c>
      <c r="F313" s="335">
        <f t="shared" si="150"/>
      </c>
      <c r="G313" s="360">
        <f t="shared" si="126"/>
        <v>0</v>
      </c>
      <c r="H313" s="336">
        <f t="shared" si="141"/>
      </c>
      <c r="I313" s="333"/>
      <c r="J313" s="359">
        <f t="shared" si="142"/>
        <v>50436</v>
      </c>
      <c r="K313" s="334">
        <f t="shared" si="127"/>
        <v>301</v>
      </c>
      <c r="L313" s="335">
        <f t="shared" si="128"/>
      </c>
      <c r="M313" s="335"/>
      <c r="N313" s="335">
        <f t="shared" si="143"/>
      </c>
      <c r="O313" s="335">
        <f t="shared" si="151"/>
      </c>
      <c r="P313" s="360">
        <f t="shared" si="129"/>
        <v>0</v>
      </c>
      <c r="R313" s="359">
        <f t="shared" si="144"/>
        <v>50436</v>
      </c>
      <c r="S313" s="334">
        <f t="shared" si="130"/>
        <v>301</v>
      </c>
      <c r="T313" s="335">
        <f t="shared" si="131"/>
      </c>
      <c r="U313" s="335"/>
      <c r="V313" s="335">
        <f t="shared" si="145"/>
      </c>
      <c r="W313" s="335">
        <f t="shared" si="152"/>
      </c>
      <c r="X313" s="360">
        <f t="shared" si="132"/>
        <v>0</v>
      </c>
      <c r="Z313" s="359">
        <f t="shared" si="146"/>
        <v>50436</v>
      </c>
      <c r="AA313" s="334">
        <f t="shared" si="133"/>
        <v>301</v>
      </c>
      <c r="AB313" s="335">
        <f t="shared" si="134"/>
      </c>
      <c r="AC313" s="335"/>
      <c r="AD313" s="335">
        <f t="shared" si="147"/>
      </c>
      <c r="AE313" s="335">
        <f t="shared" si="153"/>
      </c>
      <c r="AF313" s="360">
        <f t="shared" si="135"/>
        <v>0</v>
      </c>
      <c r="AH313" s="359">
        <f t="shared" si="148"/>
        <v>50436</v>
      </c>
      <c r="AI313" s="334">
        <f t="shared" si="136"/>
        <v>301</v>
      </c>
      <c r="AJ313" s="335">
        <f t="shared" si="137"/>
      </c>
      <c r="AK313" s="335"/>
      <c r="AL313" s="335">
        <f t="shared" si="149"/>
      </c>
      <c r="AM313" s="335">
        <f t="shared" si="154"/>
      </c>
      <c r="AN313" s="360">
        <f t="shared" si="138"/>
        <v>0</v>
      </c>
    </row>
    <row r="314" spans="1:40" ht="12.75">
      <c r="A314" s="359">
        <f t="shared" si="139"/>
        <v>50464</v>
      </c>
      <c r="B314" s="334">
        <f t="shared" si="124"/>
        <v>302</v>
      </c>
      <c r="C314" s="335">
        <f t="shared" si="125"/>
      </c>
      <c r="D314" s="335"/>
      <c r="E314" s="335">
        <f t="shared" si="140"/>
      </c>
      <c r="F314" s="335">
        <f t="shared" si="150"/>
      </c>
      <c r="G314" s="360">
        <f t="shared" si="126"/>
        <v>0</v>
      </c>
      <c r="H314" s="336">
        <f t="shared" si="141"/>
      </c>
      <c r="I314" s="333"/>
      <c r="J314" s="359">
        <f t="shared" si="142"/>
        <v>50464</v>
      </c>
      <c r="K314" s="334">
        <f t="shared" si="127"/>
        <v>302</v>
      </c>
      <c r="L314" s="335">
        <f t="shared" si="128"/>
      </c>
      <c r="M314" s="335"/>
      <c r="N314" s="335">
        <f t="shared" si="143"/>
      </c>
      <c r="O314" s="335">
        <f t="shared" si="151"/>
      </c>
      <c r="P314" s="360">
        <f t="shared" si="129"/>
        <v>0</v>
      </c>
      <c r="R314" s="359">
        <f t="shared" si="144"/>
        <v>50464</v>
      </c>
      <c r="S314" s="334">
        <f t="shared" si="130"/>
        <v>302</v>
      </c>
      <c r="T314" s="335">
        <f t="shared" si="131"/>
      </c>
      <c r="U314" s="335"/>
      <c r="V314" s="335">
        <f t="shared" si="145"/>
      </c>
      <c r="W314" s="335">
        <f t="shared" si="152"/>
      </c>
      <c r="X314" s="360">
        <f t="shared" si="132"/>
        <v>0</v>
      </c>
      <c r="Z314" s="359">
        <f t="shared" si="146"/>
        <v>50464</v>
      </c>
      <c r="AA314" s="334">
        <f t="shared" si="133"/>
        <v>302</v>
      </c>
      <c r="AB314" s="335">
        <f t="shared" si="134"/>
      </c>
      <c r="AC314" s="335"/>
      <c r="AD314" s="335">
        <f t="shared" si="147"/>
      </c>
      <c r="AE314" s="335">
        <f t="shared" si="153"/>
      </c>
      <c r="AF314" s="360">
        <f t="shared" si="135"/>
        <v>0</v>
      </c>
      <c r="AH314" s="359">
        <f t="shared" si="148"/>
        <v>50464</v>
      </c>
      <c r="AI314" s="334">
        <f t="shared" si="136"/>
        <v>302</v>
      </c>
      <c r="AJ314" s="335">
        <f t="shared" si="137"/>
      </c>
      <c r="AK314" s="335"/>
      <c r="AL314" s="335">
        <f t="shared" si="149"/>
      </c>
      <c r="AM314" s="335">
        <f t="shared" si="154"/>
      </c>
      <c r="AN314" s="360">
        <f t="shared" si="138"/>
        <v>0</v>
      </c>
    </row>
    <row r="315" spans="1:40" ht="12.75">
      <c r="A315" s="359">
        <f t="shared" si="139"/>
        <v>50495</v>
      </c>
      <c r="B315" s="334">
        <f t="shared" si="124"/>
        <v>303</v>
      </c>
      <c r="C315" s="335">
        <f t="shared" si="125"/>
      </c>
      <c r="D315" s="335"/>
      <c r="E315" s="335">
        <f t="shared" si="140"/>
      </c>
      <c r="F315" s="335">
        <f t="shared" si="150"/>
      </c>
      <c r="G315" s="360">
        <f t="shared" si="126"/>
        <v>0</v>
      </c>
      <c r="H315" s="336">
        <f t="shared" si="141"/>
      </c>
      <c r="I315" s="333"/>
      <c r="J315" s="359">
        <f t="shared" si="142"/>
        <v>50495</v>
      </c>
      <c r="K315" s="334">
        <f t="shared" si="127"/>
        <v>303</v>
      </c>
      <c r="L315" s="335">
        <f t="shared" si="128"/>
      </c>
      <c r="M315" s="335"/>
      <c r="N315" s="335">
        <f t="shared" si="143"/>
      </c>
      <c r="O315" s="335">
        <f t="shared" si="151"/>
      </c>
      <c r="P315" s="360">
        <f t="shared" si="129"/>
        <v>0</v>
      </c>
      <c r="R315" s="359">
        <f t="shared" si="144"/>
        <v>50495</v>
      </c>
      <c r="S315" s="334">
        <f t="shared" si="130"/>
        <v>303</v>
      </c>
      <c r="T315" s="335">
        <f t="shared" si="131"/>
      </c>
      <c r="U315" s="335"/>
      <c r="V315" s="335">
        <f t="shared" si="145"/>
      </c>
      <c r="W315" s="335">
        <f t="shared" si="152"/>
      </c>
      <c r="X315" s="360">
        <f t="shared" si="132"/>
        <v>0</v>
      </c>
      <c r="Z315" s="359">
        <f t="shared" si="146"/>
        <v>50495</v>
      </c>
      <c r="AA315" s="334">
        <f t="shared" si="133"/>
        <v>303</v>
      </c>
      <c r="AB315" s="335">
        <f t="shared" si="134"/>
      </c>
      <c r="AC315" s="335"/>
      <c r="AD315" s="335">
        <f t="shared" si="147"/>
      </c>
      <c r="AE315" s="335">
        <f t="shared" si="153"/>
      </c>
      <c r="AF315" s="360">
        <f t="shared" si="135"/>
        <v>0</v>
      </c>
      <c r="AH315" s="359">
        <f t="shared" si="148"/>
        <v>50495</v>
      </c>
      <c r="AI315" s="334">
        <f t="shared" si="136"/>
        <v>303</v>
      </c>
      <c r="AJ315" s="335">
        <f t="shared" si="137"/>
      </c>
      <c r="AK315" s="335"/>
      <c r="AL315" s="335">
        <f t="shared" si="149"/>
      </c>
      <c r="AM315" s="335">
        <f t="shared" si="154"/>
      </c>
      <c r="AN315" s="360">
        <f t="shared" si="138"/>
        <v>0</v>
      </c>
    </row>
    <row r="316" spans="1:40" ht="12.75">
      <c r="A316" s="359">
        <f t="shared" si="139"/>
        <v>50525</v>
      </c>
      <c r="B316" s="334">
        <f t="shared" si="124"/>
        <v>304</v>
      </c>
      <c r="C316" s="335">
        <f t="shared" si="125"/>
      </c>
      <c r="D316" s="335"/>
      <c r="E316" s="335">
        <f t="shared" si="140"/>
      </c>
      <c r="F316" s="335">
        <f t="shared" si="150"/>
      </c>
      <c r="G316" s="360">
        <f t="shared" si="126"/>
        <v>0</v>
      </c>
      <c r="H316" s="336">
        <f t="shared" si="141"/>
      </c>
      <c r="I316" s="333"/>
      <c r="J316" s="359">
        <f t="shared" si="142"/>
        <v>50525</v>
      </c>
      <c r="K316" s="334">
        <f t="shared" si="127"/>
        <v>304</v>
      </c>
      <c r="L316" s="335">
        <f t="shared" si="128"/>
      </c>
      <c r="M316" s="335"/>
      <c r="N316" s="335">
        <f t="shared" si="143"/>
      </c>
      <c r="O316" s="335">
        <f t="shared" si="151"/>
      </c>
      <c r="P316" s="360">
        <f t="shared" si="129"/>
        <v>0</v>
      </c>
      <c r="R316" s="359">
        <f t="shared" si="144"/>
        <v>50525</v>
      </c>
      <c r="S316" s="334">
        <f t="shared" si="130"/>
        <v>304</v>
      </c>
      <c r="T316" s="335">
        <f t="shared" si="131"/>
      </c>
      <c r="U316" s="335"/>
      <c r="V316" s="335">
        <f t="shared" si="145"/>
      </c>
      <c r="W316" s="335">
        <f t="shared" si="152"/>
      </c>
      <c r="X316" s="360">
        <f t="shared" si="132"/>
        <v>0</v>
      </c>
      <c r="Z316" s="359">
        <f t="shared" si="146"/>
        <v>50525</v>
      </c>
      <c r="AA316" s="334">
        <f t="shared" si="133"/>
        <v>304</v>
      </c>
      <c r="AB316" s="335">
        <f t="shared" si="134"/>
      </c>
      <c r="AC316" s="335"/>
      <c r="AD316" s="335">
        <f t="shared" si="147"/>
      </c>
      <c r="AE316" s="335">
        <f t="shared" si="153"/>
      </c>
      <c r="AF316" s="360">
        <f t="shared" si="135"/>
        <v>0</v>
      </c>
      <c r="AH316" s="359">
        <f t="shared" si="148"/>
        <v>50525</v>
      </c>
      <c r="AI316" s="334">
        <f t="shared" si="136"/>
        <v>304</v>
      </c>
      <c r="AJ316" s="335">
        <f t="shared" si="137"/>
      </c>
      <c r="AK316" s="335"/>
      <c r="AL316" s="335">
        <f t="shared" si="149"/>
      </c>
      <c r="AM316" s="335">
        <f t="shared" si="154"/>
      </c>
      <c r="AN316" s="360">
        <f t="shared" si="138"/>
        <v>0</v>
      </c>
    </row>
    <row r="317" spans="1:40" ht="12.75">
      <c r="A317" s="359">
        <f t="shared" si="139"/>
        <v>50556</v>
      </c>
      <c r="B317" s="334">
        <f t="shared" si="124"/>
        <v>305</v>
      </c>
      <c r="C317" s="335">
        <f t="shared" si="125"/>
      </c>
      <c r="D317" s="335"/>
      <c r="E317" s="335">
        <f t="shared" si="140"/>
      </c>
      <c r="F317" s="335">
        <f t="shared" si="150"/>
      </c>
      <c r="G317" s="360">
        <f t="shared" si="126"/>
        <v>0</v>
      </c>
      <c r="H317" s="336">
        <f t="shared" si="141"/>
      </c>
      <c r="I317" s="333"/>
      <c r="J317" s="359">
        <f t="shared" si="142"/>
        <v>50556</v>
      </c>
      <c r="K317" s="334">
        <f t="shared" si="127"/>
        <v>305</v>
      </c>
      <c r="L317" s="335">
        <f t="shared" si="128"/>
      </c>
      <c r="M317" s="335"/>
      <c r="N317" s="335">
        <f t="shared" si="143"/>
      </c>
      <c r="O317" s="335">
        <f t="shared" si="151"/>
      </c>
      <c r="P317" s="360">
        <f t="shared" si="129"/>
        <v>0</v>
      </c>
      <c r="R317" s="359">
        <f t="shared" si="144"/>
        <v>50556</v>
      </c>
      <c r="S317" s="334">
        <f t="shared" si="130"/>
        <v>305</v>
      </c>
      <c r="T317" s="335">
        <f t="shared" si="131"/>
      </c>
      <c r="U317" s="335"/>
      <c r="V317" s="335">
        <f t="shared" si="145"/>
      </c>
      <c r="W317" s="335">
        <f t="shared" si="152"/>
      </c>
      <c r="X317" s="360">
        <f t="shared" si="132"/>
        <v>0</v>
      </c>
      <c r="Z317" s="359">
        <f t="shared" si="146"/>
        <v>50556</v>
      </c>
      <c r="AA317" s="334">
        <f t="shared" si="133"/>
        <v>305</v>
      </c>
      <c r="AB317" s="335">
        <f t="shared" si="134"/>
      </c>
      <c r="AC317" s="335"/>
      <c r="AD317" s="335">
        <f t="shared" si="147"/>
      </c>
      <c r="AE317" s="335">
        <f t="shared" si="153"/>
      </c>
      <c r="AF317" s="360">
        <f t="shared" si="135"/>
        <v>0</v>
      </c>
      <c r="AH317" s="359">
        <f t="shared" si="148"/>
        <v>50556</v>
      </c>
      <c r="AI317" s="334">
        <f t="shared" si="136"/>
        <v>305</v>
      </c>
      <c r="AJ317" s="335">
        <f t="shared" si="137"/>
      </c>
      <c r="AK317" s="335"/>
      <c r="AL317" s="335">
        <f t="shared" si="149"/>
      </c>
      <c r="AM317" s="335">
        <f t="shared" si="154"/>
      </c>
      <c r="AN317" s="360">
        <f t="shared" si="138"/>
        <v>0</v>
      </c>
    </row>
    <row r="318" spans="1:40" ht="12.75">
      <c r="A318" s="359">
        <f t="shared" si="139"/>
        <v>50586</v>
      </c>
      <c r="B318" s="334">
        <f t="shared" si="124"/>
        <v>306</v>
      </c>
      <c r="C318" s="335">
        <f t="shared" si="125"/>
      </c>
      <c r="D318" s="335"/>
      <c r="E318" s="335">
        <f t="shared" si="140"/>
      </c>
      <c r="F318" s="335">
        <f t="shared" si="150"/>
      </c>
      <c r="G318" s="360">
        <f t="shared" si="126"/>
        <v>0</v>
      </c>
      <c r="H318" s="336">
        <f t="shared" si="141"/>
      </c>
      <c r="I318" s="333"/>
      <c r="J318" s="359">
        <f t="shared" si="142"/>
        <v>50586</v>
      </c>
      <c r="K318" s="334">
        <f t="shared" si="127"/>
        <v>306</v>
      </c>
      <c r="L318" s="335">
        <f t="shared" si="128"/>
      </c>
      <c r="M318" s="335"/>
      <c r="N318" s="335">
        <f t="shared" si="143"/>
      </c>
      <c r="O318" s="335">
        <f t="shared" si="151"/>
      </c>
      <c r="P318" s="360">
        <f t="shared" si="129"/>
        <v>0</v>
      </c>
      <c r="R318" s="359">
        <f t="shared" si="144"/>
        <v>50586</v>
      </c>
      <c r="S318" s="334">
        <f t="shared" si="130"/>
        <v>306</v>
      </c>
      <c r="T318" s="335">
        <f t="shared" si="131"/>
      </c>
      <c r="U318" s="335"/>
      <c r="V318" s="335">
        <f t="shared" si="145"/>
      </c>
      <c r="W318" s="335">
        <f t="shared" si="152"/>
      </c>
      <c r="X318" s="360">
        <f t="shared" si="132"/>
        <v>0</v>
      </c>
      <c r="Z318" s="359">
        <f t="shared" si="146"/>
        <v>50586</v>
      </c>
      <c r="AA318" s="334">
        <f t="shared" si="133"/>
        <v>306</v>
      </c>
      <c r="AB318" s="335">
        <f t="shared" si="134"/>
      </c>
      <c r="AC318" s="335"/>
      <c r="AD318" s="335">
        <f t="shared" si="147"/>
      </c>
      <c r="AE318" s="335">
        <f t="shared" si="153"/>
      </c>
      <c r="AF318" s="360">
        <f t="shared" si="135"/>
        <v>0</v>
      </c>
      <c r="AH318" s="359">
        <f t="shared" si="148"/>
        <v>50586</v>
      </c>
      <c r="AI318" s="334">
        <f t="shared" si="136"/>
        <v>306</v>
      </c>
      <c r="AJ318" s="335">
        <f t="shared" si="137"/>
      </c>
      <c r="AK318" s="335"/>
      <c r="AL318" s="335">
        <f t="shared" si="149"/>
      </c>
      <c r="AM318" s="335">
        <f t="shared" si="154"/>
      </c>
      <c r="AN318" s="360">
        <f t="shared" si="138"/>
        <v>0</v>
      </c>
    </row>
    <row r="319" spans="1:40" ht="12.75">
      <c r="A319" s="359">
        <f t="shared" si="139"/>
        <v>50617</v>
      </c>
      <c r="B319" s="334">
        <f aca="true" t="shared" si="155" ref="B319:B372">B318+1</f>
        <v>307</v>
      </c>
      <c r="C319" s="335">
        <f aca="true" t="shared" si="156" ref="C319:C372">IF(G318&gt;0.5,C318,"")</f>
      </c>
      <c r="D319" s="335"/>
      <c r="E319" s="335">
        <f t="shared" si="140"/>
      </c>
      <c r="F319" s="335">
        <f t="shared" si="150"/>
      </c>
      <c r="G319" s="360">
        <f aca="true" t="shared" si="157" ref="G319:G372">IF(G318&gt;0.5,G318-F319,0)</f>
        <v>0</v>
      </c>
      <c r="H319" s="336">
        <f t="shared" si="141"/>
      </c>
      <c r="I319" s="333"/>
      <c r="J319" s="359">
        <f t="shared" si="142"/>
        <v>50617</v>
      </c>
      <c r="K319" s="334">
        <f aca="true" t="shared" si="158" ref="K319:K372">K318+1</f>
        <v>307</v>
      </c>
      <c r="L319" s="335">
        <f aca="true" t="shared" si="159" ref="L319:L372">IF(P318&gt;0.5,L318,"")</f>
      </c>
      <c r="M319" s="335"/>
      <c r="N319" s="335">
        <f t="shared" si="143"/>
      </c>
      <c r="O319" s="335">
        <f t="shared" si="151"/>
      </c>
      <c r="P319" s="360">
        <f aca="true" t="shared" si="160" ref="P319:P372">IF(P318&gt;0.5,P318-O319,0)</f>
        <v>0</v>
      </c>
      <c r="R319" s="359">
        <f t="shared" si="144"/>
        <v>50617</v>
      </c>
      <c r="S319" s="334">
        <f aca="true" t="shared" si="161" ref="S319:S372">S318+1</f>
        <v>307</v>
      </c>
      <c r="T319" s="335">
        <f aca="true" t="shared" si="162" ref="T319:T372">IF(X318&gt;0.5,T318,"")</f>
      </c>
      <c r="U319" s="335"/>
      <c r="V319" s="335">
        <f t="shared" si="145"/>
      </c>
      <c r="W319" s="335">
        <f t="shared" si="152"/>
      </c>
      <c r="X319" s="360">
        <f aca="true" t="shared" si="163" ref="X319:X372">IF(X318&gt;0.5,X318-W319,0)</f>
        <v>0</v>
      </c>
      <c r="Z319" s="359">
        <f t="shared" si="146"/>
        <v>50617</v>
      </c>
      <c r="AA319" s="334">
        <f aca="true" t="shared" si="164" ref="AA319:AA372">AA318+1</f>
        <v>307</v>
      </c>
      <c r="AB319" s="335">
        <f aca="true" t="shared" si="165" ref="AB319:AB372">IF(AF318&gt;0.5,AB318,"")</f>
      </c>
      <c r="AC319" s="335"/>
      <c r="AD319" s="335">
        <f t="shared" si="147"/>
      </c>
      <c r="AE319" s="335">
        <f t="shared" si="153"/>
      </c>
      <c r="AF319" s="360">
        <f aca="true" t="shared" si="166" ref="AF319:AF372">IF(AF318&gt;0.5,AF318-AE319,0)</f>
        <v>0</v>
      </c>
      <c r="AH319" s="359">
        <f t="shared" si="148"/>
        <v>50617</v>
      </c>
      <c r="AI319" s="334">
        <f aca="true" t="shared" si="167" ref="AI319:AI372">AI318+1</f>
        <v>307</v>
      </c>
      <c r="AJ319" s="335">
        <f aca="true" t="shared" si="168" ref="AJ319:AJ372">IF(AN318&gt;0.5,AJ318,"")</f>
      </c>
      <c r="AK319" s="335"/>
      <c r="AL319" s="335">
        <f t="shared" si="149"/>
      </c>
      <c r="AM319" s="335">
        <f t="shared" si="154"/>
      </c>
      <c r="AN319" s="360">
        <f aca="true" t="shared" si="169" ref="AN319:AN372">IF(AN318&gt;0.5,AN318-AM319,0)</f>
        <v>0</v>
      </c>
    </row>
    <row r="320" spans="1:40" ht="12.75">
      <c r="A320" s="359">
        <f t="shared" si="139"/>
        <v>50648</v>
      </c>
      <c r="B320" s="334">
        <f t="shared" si="155"/>
        <v>308</v>
      </c>
      <c r="C320" s="335">
        <f t="shared" si="156"/>
      </c>
      <c r="D320" s="335"/>
      <c r="E320" s="335">
        <f t="shared" si="140"/>
      </c>
      <c r="F320" s="335">
        <f t="shared" si="150"/>
      </c>
      <c r="G320" s="360">
        <f t="shared" si="157"/>
        <v>0</v>
      </c>
      <c r="H320" s="336">
        <f t="shared" si="141"/>
      </c>
      <c r="I320" s="333"/>
      <c r="J320" s="359">
        <f t="shared" si="142"/>
        <v>50648</v>
      </c>
      <c r="K320" s="334">
        <f t="shared" si="158"/>
        <v>308</v>
      </c>
      <c r="L320" s="335">
        <f t="shared" si="159"/>
      </c>
      <c r="M320" s="335"/>
      <c r="N320" s="335">
        <f t="shared" si="143"/>
      </c>
      <c r="O320" s="335">
        <f t="shared" si="151"/>
      </c>
      <c r="P320" s="360">
        <f t="shared" si="160"/>
        <v>0</v>
      </c>
      <c r="R320" s="359">
        <f t="shared" si="144"/>
        <v>50648</v>
      </c>
      <c r="S320" s="334">
        <f t="shared" si="161"/>
        <v>308</v>
      </c>
      <c r="T320" s="335">
        <f t="shared" si="162"/>
      </c>
      <c r="U320" s="335"/>
      <c r="V320" s="335">
        <f t="shared" si="145"/>
      </c>
      <c r="W320" s="335">
        <f t="shared" si="152"/>
      </c>
      <c r="X320" s="360">
        <f t="shared" si="163"/>
        <v>0</v>
      </c>
      <c r="Z320" s="359">
        <f t="shared" si="146"/>
        <v>50648</v>
      </c>
      <c r="AA320" s="334">
        <f t="shared" si="164"/>
        <v>308</v>
      </c>
      <c r="AB320" s="335">
        <f t="shared" si="165"/>
      </c>
      <c r="AC320" s="335"/>
      <c r="AD320" s="335">
        <f t="shared" si="147"/>
      </c>
      <c r="AE320" s="335">
        <f t="shared" si="153"/>
      </c>
      <c r="AF320" s="360">
        <f t="shared" si="166"/>
        <v>0</v>
      </c>
      <c r="AH320" s="359">
        <f t="shared" si="148"/>
        <v>50648</v>
      </c>
      <c r="AI320" s="334">
        <f t="shared" si="167"/>
        <v>308</v>
      </c>
      <c r="AJ320" s="335">
        <f t="shared" si="168"/>
      </c>
      <c r="AK320" s="335"/>
      <c r="AL320" s="335">
        <f t="shared" si="149"/>
      </c>
      <c r="AM320" s="335">
        <f t="shared" si="154"/>
      </c>
      <c r="AN320" s="360">
        <f t="shared" si="169"/>
        <v>0</v>
      </c>
    </row>
    <row r="321" spans="1:40" ht="12.75">
      <c r="A321" s="359">
        <f t="shared" si="139"/>
        <v>50678</v>
      </c>
      <c r="B321" s="334">
        <f t="shared" si="155"/>
        <v>309</v>
      </c>
      <c r="C321" s="335">
        <f t="shared" si="156"/>
      </c>
      <c r="D321" s="335"/>
      <c r="E321" s="335">
        <f t="shared" si="140"/>
      </c>
      <c r="F321" s="335">
        <f t="shared" si="150"/>
      </c>
      <c r="G321" s="360">
        <f t="shared" si="157"/>
        <v>0</v>
      </c>
      <c r="H321" s="336">
        <f t="shared" si="141"/>
      </c>
      <c r="I321" s="333"/>
      <c r="J321" s="359">
        <f t="shared" si="142"/>
        <v>50678</v>
      </c>
      <c r="K321" s="334">
        <f t="shared" si="158"/>
        <v>309</v>
      </c>
      <c r="L321" s="335">
        <f t="shared" si="159"/>
      </c>
      <c r="M321" s="335"/>
      <c r="N321" s="335">
        <f t="shared" si="143"/>
      </c>
      <c r="O321" s="335">
        <f t="shared" si="151"/>
      </c>
      <c r="P321" s="360">
        <f t="shared" si="160"/>
        <v>0</v>
      </c>
      <c r="R321" s="359">
        <f t="shared" si="144"/>
        <v>50678</v>
      </c>
      <c r="S321" s="334">
        <f t="shared" si="161"/>
        <v>309</v>
      </c>
      <c r="T321" s="335">
        <f t="shared" si="162"/>
      </c>
      <c r="U321" s="335"/>
      <c r="V321" s="335">
        <f t="shared" si="145"/>
      </c>
      <c r="W321" s="335">
        <f t="shared" si="152"/>
      </c>
      <c r="X321" s="360">
        <f t="shared" si="163"/>
        <v>0</v>
      </c>
      <c r="Z321" s="359">
        <f t="shared" si="146"/>
        <v>50678</v>
      </c>
      <c r="AA321" s="334">
        <f t="shared" si="164"/>
        <v>309</v>
      </c>
      <c r="AB321" s="335">
        <f t="shared" si="165"/>
      </c>
      <c r="AC321" s="335"/>
      <c r="AD321" s="335">
        <f t="shared" si="147"/>
      </c>
      <c r="AE321" s="335">
        <f t="shared" si="153"/>
      </c>
      <c r="AF321" s="360">
        <f t="shared" si="166"/>
        <v>0</v>
      </c>
      <c r="AH321" s="359">
        <f t="shared" si="148"/>
        <v>50678</v>
      </c>
      <c r="AI321" s="334">
        <f t="shared" si="167"/>
        <v>309</v>
      </c>
      <c r="AJ321" s="335">
        <f t="shared" si="168"/>
      </c>
      <c r="AK321" s="335"/>
      <c r="AL321" s="335">
        <f t="shared" si="149"/>
      </c>
      <c r="AM321" s="335">
        <f t="shared" si="154"/>
      </c>
      <c r="AN321" s="360">
        <f t="shared" si="169"/>
        <v>0</v>
      </c>
    </row>
    <row r="322" spans="1:40" ht="12.75">
      <c r="A322" s="359">
        <f t="shared" si="139"/>
        <v>50709</v>
      </c>
      <c r="B322" s="334">
        <f t="shared" si="155"/>
        <v>310</v>
      </c>
      <c r="C322" s="335">
        <f t="shared" si="156"/>
      </c>
      <c r="D322" s="335"/>
      <c r="E322" s="335">
        <f t="shared" si="140"/>
      </c>
      <c r="F322" s="335">
        <f t="shared" si="150"/>
      </c>
      <c r="G322" s="360">
        <f t="shared" si="157"/>
        <v>0</v>
      </c>
      <c r="H322" s="336">
        <f t="shared" si="141"/>
      </c>
      <c r="I322" s="333"/>
      <c r="J322" s="359">
        <f t="shared" si="142"/>
        <v>50709</v>
      </c>
      <c r="K322" s="334">
        <f t="shared" si="158"/>
        <v>310</v>
      </c>
      <c r="L322" s="335">
        <f t="shared" si="159"/>
      </c>
      <c r="M322" s="335"/>
      <c r="N322" s="335">
        <f t="shared" si="143"/>
      </c>
      <c r="O322" s="335">
        <f t="shared" si="151"/>
      </c>
      <c r="P322" s="360">
        <f t="shared" si="160"/>
        <v>0</v>
      </c>
      <c r="R322" s="359">
        <f t="shared" si="144"/>
        <v>50709</v>
      </c>
      <c r="S322" s="334">
        <f t="shared" si="161"/>
        <v>310</v>
      </c>
      <c r="T322" s="335">
        <f t="shared" si="162"/>
      </c>
      <c r="U322" s="335"/>
      <c r="V322" s="335">
        <f t="shared" si="145"/>
      </c>
      <c r="W322" s="335">
        <f t="shared" si="152"/>
      </c>
      <c r="X322" s="360">
        <f t="shared" si="163"/>
        <v>0</v>
      </c>
      <c r="Z322" s="359">
        <f t="shared" si="146"/>
        <v>50709</v>
      </c>
      <c r="AA322" s="334">
        <f t="shared" si="164"/>
        <v>310</v>
      </c>
      <c r="AB322" s="335">
        <f t="shared" si="165"/>
      </c>
      <c r="AC322" s="335"/>
      <c r="AD322" s="335">
        <f t="shared" si="147"/>
      </c>
      <c r="AE322" s="335">
        <f t="shared" si="153"/>
      </c>
      <c r="AF322" s="360">
        <f t="shared" si="166"/>
        <v>0</v>
      </c>
      <c r="AH322" s="359">
        <f t="shared" si="148"/>
        <v>50709</v>
      </c>
      <c r="AI322" s="334">
        <f t="shared" si="167"/>
        <v>310</v>
      </c>
      <c r="AJ322" s="335">
        <f t="shared" si="168"/>
      </c>
      <c r="AK322" s="335"/>
      <c r="AL322" s="335">
        <f t="shared" si="149"/>
      </c>
      <c r="AM322" s="335">
        <f t="shared" si="154"/>
      </c>
      <c r="AN322" s="360">
        <f t="shared" si="169"/>
        <v>0</v>
      </c>
    </row>
    <row r="323" spans="1:40" ht="12.75">
      <c r="A323" s="359">
        <f t="shared" si="139"/>
        <v>50739</v>
      </c>
      <c r="B323" s="334">
        <f t="shared" si="155"/>
        <v>311</v>
      </c>
      <c r="C323" s="335">
        <f t="shared" si="156"/>
      </c>
      <c r="D323" s="335"/>
      <c r="E323" s="335">
        <f t="shared" si="140"/>
      </c>
      <c r="F323" s="335">
        <f t="shared" si="150"/>
      </c>
      <c r="G323" s="360">
        <f t="shared" si="157"/>
        <v>0</v>
      </c>
      <c r="H323" s="336">
        <f t="shared" si="141"/>
      </c>
      <c r="I323" s="333"/>
      <c r="J323" s="359">
        <f t="shared" si="142"/>
        <v>50739</v>
      </c>
      <c r="K323" s="334">
        <f t="shared" si="158"/>
        <v>311</v>
      </c>
      <c r="L323" s="335">
        <f t="shared" si="159"/>
      </c>
      <c r="M323" s="335"/>
      <c r="N323" s="335">
        <f t="shared" si="143"/>
      </c>
      <c r="O323" s="335">
        <f t="shared" si="151"/>
      </c>
      <c r="P323" s="360">
        <f t="shared" si="160"/>
        <v>0</v>
      </c>
      <c r="R323" s="359">
        <f t="shared" si="144"/>
        <v>50739</v>
      </c>
      <c r="S323" s="334">
        <f t="shared" si="161"/>
        <v>311</v>
      </c>
      <c r="T323" s="335">
        <f t="shared" si="162"/>
      </c>
      <c r="U323" s="335"/>
      <c r="V323" s="335">
        <f t="shared" si="145"/>
      </c>
      <c r="W323" s="335">
        <f t="shared" si="152"/>
      </c>
      <c r="X323" s="360">
        <f t="shared" si="163"/>
        <v>0</v>
      </c>
      <c r="Z323" s="359">
        <f t="shared" si="146"/>
        <v>50739</v>
      </c>
      <c r="AA323" s="334">
        <f t="shared" si="164"/>
        <v>311</v>
      </c>
      <c r="AB323" s="335">
        <f t="shared" si="165"/>
      </c>
      <c r="AC323" s="335"/>
      <c r="AD323" s="335">
        <f t="shared" si="147"/>
      </c>
      <c r="AE323" s="335">
        <f t="shared" si="153"/>
      </c>
      <c r="AF323" s="360">
        <f t="shared" si="166"/>
        <v>0</v>
      </c>
      <c r="AH323" s="359">
        <f t="shared" si="148"/>
        <v>50739</v>
      </c>
      <c r="AI323" s="334">
        <f t="shared" si="167"/>
        <v>311</v>
      </c>
      <c r="AJ323" s="335">
        <f t="shared" si="168"/>
      </c>
      <c r="AK323" s="335"/>
      <c r="AL323" s="335">
        <f t="shared" si="149"/>
      </c>
      <c r="AM323" s="335">
        <f t="shared" si="154"/>
      </c>
      <c r="AN323" s="360">
        <f t="shared" si="169"/>
        <v>0</v>
      </c>
    </row>
    <row r="324" spans="1:40" ht="12.75">
      <c r="A324" s="359">
        <f t="shared" si="139"/>
        <v>50770</v>
      </c>
      <c r="B324" s="334">
        <f t="shared" si="155"/>
        <v>312</v>
      </c>
      <c r="C324" s="335">
        <f t="shared" si="156"/>
      </c>
      <c r="D324" s="335"/>
      <c r="E324" s="335">
        <f t="shared" si="140"/>
      </c>
      <c r="F324" s="335">
        <f t="shared" si="150"/>
      </c>
      <c r="G324" s="360">
        <f t="shared" si="157"/>
        <v>0</v>
      </c>
      <c r="H324" s="336">
        <f t="shared" si="141"/>
      </c>
      <c r="I324" s="333"/>
      <c r="J324" s="359">
        <f t="shared" si="142"/>
        <v>50770</v>
      </c>
      <c r="K324" s="334">
        <f t="shared" si="158"/>
        <v>312</v>
      </c>
      <c r="L324" s="335">
        <f t="shared" si="159"/>
      </c>
      <c r="M324" s="335"/>
      <c r="N324" s="335">
        <f t="shared" si="143"/>
      </c>
      <c r="O324" s="335">
        <f t="shared" si="151"/>
      </c>
      <c r="P324" s="360">
        <f t="shared" si="160"/>
        <v>0</v>
      </c>
      <c r="R324" s="359">
        <f t="shared" si="144"/>
        <v>50770</v>
      </c>
      <c r="S324" s="334">
        <f t="shared" si="161"/>
        <v>312</v>
      </c>
      <c r="T324" s="335">
        <f t="shared" si="162"/>
      </c>
      <c r="U324" s="335"/>
      <c r="V324" s="335">
        <f t="shared" si="145"/>
      </c>
      <c r="W324" s="335">
        <f t="shared" si="152"/>
      </c>
      <c r="X324" s="360">
        <f t="shared" si="163"/>
        <v>0</v>
      </c>
      <c r="Z324" s="359">
        <f t="shared" si="146"/>
        <v>50770</v>
      </c>
      <c r="AA324" s="334">
        <f t="shared" si="164"/>
        <v>312</v>
      </c>
      <c r="AB324" s="335">
        <f t="shared" si="165"/>
      </c>
      <c r="AC324" s="335"/>
      <c r="AD324" s="335">
        <f t="shared" si="147"/>
      </c>
      <c r="AE324" s="335">
        <f t="shared" si="153"/>
      </c>
      <c r="AF324" s="360">
        <f t="shared" si="166"/>
        <v>0</v>
      </c>
      <c r="AH324" s="359">
        <f t="shared" si="148"/>
        <v>50770</v>
      </c>
      <c r="AI324" s="334">
        <f t="shared" si="167"/>
        <v>312</v>
      </c>
      <c r="AJ324" s="335">
        <f t="shared" si="168"/>
      </c>
      <c r="AK324" s="335"/>
      <c r="AL324" s="335">
        <f t="shared" si="149"/>
      </c>
      <c r="AM324" s="335">
        <f t="shared" si="154"/>
      </c>
      <c r="AN324" s="360">
        <f t="shared" si="169"/>
        <v>0</v>
      </c>
    </row>
    <row r="325" spans="1:40" ht="12.75">
      <c r="A325" s="359">
        <f t="shared" si="139"/>
        <v>50801</v>
      </c>
      <c r="B325" s="334">
        <f t="shared" si="155"/>
        <v>313</v>
      </c>
      <c r="C325" s="335">
        <f t="shared" si="156"/>
      </c>
      <c r="D325" s="335"/>
      <c r="E325" s="335">
        <f t="shared" si="140"/>
      </c>
      <c r="F325" s="335">
        <f t="shared" si="150"/>
      </c>
      <c r="G325" s="360">
        <f t="shared" si="157"/>
        <v>0</v>
      </c>
      <c r="H325" s="336">
        <f t="shared" si="141"/>
      </c>
      <c r="I325" s="333"/>
      <c r="J325" s="359">
        <f t="shared" si="142"/>
        <v>50801</v>
      </c>
      <c r="K325" s="334">
        <f t="shared" si="158"/>
        <v>313</v>
      </c>
      <c r="L325" s="335">
        <f t="shared" si="159"/>
      </c>
      <c r="M325" s="335"/>
      <c r="N325" s="335">
        <f t="shared" si="143"/>
      </c>
      <c r="O325" s="335">
        <f t="shared" si="151"/>
      </c>
      <c r="P325" s="360">
        <f t="shared" si="160"/>
        <v>0</v>
      </c>
      <c r="R325" s="359">
        <f t="shared" si="144"/>
        <v>50801</v>
      </c>
      <c r="S325" s="334">
        <f t="shared" si="161"/>
        <v>313</v>
      </c>
      <c r="T325" s="335">
        <f t="shared" si="162"/>
      </c>
      <c r="U325" s="335"/>
      <c r="V325" s="335">
        <f t="shared" si="145"/>
      </c>
      <c r="W325" s="335">
        <f t="shared" si="152"/>
      </c>
      <c r="X325" s="360">
        <f t="shared" si="163"/>
        <v>0</v>
      </c>
      <c r="Z325" s="359">
        <f t="shared" si="146"/>
        <v>50801</v>
      </c>
      <c r="AA325" s="334">
        <f t="shared" si="164"/>
        <v>313</v>
      </c>
      <c r="AB325" s="335">
        <f t="shared" si="165"/>
      </c>
      <c r="AC325" s="335"/>
      <c r="AD325" s="335">
        <f t="shared" si="147"/>
      </c>
      <c r="AE325" s="335">
        <f t="shared" si="153"/>
      </c>
      <c r="AF325" s="360">
        <f t="shared" si="166"/>
        <v>0</v>
      </c>
      <c r="AH325" s="359">
        <f t="shared" si="148"/>
        <v>50801</v>
      </c>
      <c r="AI325" s="334">
        <f t="shared" si="167"/>
        <v>313</v>
      </c>
      <c r="AJ325" s="335">
        <f t="shared" si="168"/>
      </c>
      <c r="AK325" s="335"/>
      <c r="AL325" s="335">
        <f t="shared" si="149"/>
      </c>
      <c r="AM325" s="335">
        <f t="shared" si="154"/>
      </c>
      <c r="AN325" s="360">
        <f t="shared" si="169"/>
        <v>0</v>
      </c>
    </row>
    <row r="326" spans="1:40" ht="12.75">
      <c r="A326" s="359">
        <f t="shared" si="139"/>
        <v>50829</v>
      </c>
      <c r="B326" s="334">
        <f t="shared" si="155"/>
        <v>314</v>
      </c>
      <c r="C326" s="335">
        <f t="shared" si="156"/>
      </c>
      <c r="D326" s="335"/>
      <c r="E326" s="335">
        <f t="shared" si="140"/>
      </c>
      <c r="F326" s="335">
        <f t="shared" si="150"/>
      </c>
      <c r="G326" s="360">
        <f t="shared" si="157"/>
        <v>0</v>
      </c>
      <c r="H326" s="336">
        <f t="shared" si="141"/>
      </c>
      <c r="I326" s="333"/>
      <c r="J326" s="359">
        <f t="shared" si="142"/>
        <v>50829</v>
      </c>
      <c r="K326" s="334">
        <f t="shared" si="158"/>
        <v>314</v>
      </c>
      <c r="L326" s="335">
        <f t="shared" si="159"/>
      </c>
      <c r="M326" s="335"/>
      <c r="N326" s="335">
        <f t="shared" si="143"/>
      </c>
      <c r="O326" s="335">
        <f t="shared" si="151"/>
      </c>
      <c r="P326" s="360">
        <f t="shared" si="160"/>
        <v>0</v>
      </c>
      <c r="R326" s="359">
        <f t="shared" si="144"/>
        <v>50829</v>
      </c>
      <c r="S326" s="334">
        <f t="shared" si="161"/>
        <v>314</v>
      </c>
      <c r="T326" s="335">
        <f t="shared" si="162"/>
      </c>
      <c r="U326" s="335"/>
      <c r="V326" s="335">
        <f t="shared" si="145"/>
      </c>
      <c r="W326" s="335">
        <f t="shared" si="152"/>
      </c>
      <c r="X326" s="360">
        <f t="shared" si="163"/>
        <v>0</v>
      </c>
      <c r="Z326" s="359">
        <f t="shared" si="146"/>
        <v>50829</v>
      </c>
      <c r="AA326" s="334">
        <f t="shared" si="164"/>
        <v>314</v>
      </c>
      <c r="AB326" s="335">
        <f t="shared" si="165"/>
      </c>
      <c r="AC326" s="335"/>
      <c r="AD326" s="335">
        <f t="shared" si="147"/>
      </c>
      <c r="AE326" s="335">
        <f t="shared" si="153"/>
      </c>
      <c r="AF326" s="360">
        <f t="shared" si="166"/>
        <v>0</v>
      </c>
      <c r="AH326" s="359">
        <f t="shared" si="148"/>
        <v>50829</v>
      </c>
      <c r="AI326" s="334">
        <f t="shared" si="167"/>
        <v>314</v>
      </c>
      <c r="AJ326" s="335">
        <f t="shared" si="168"/>
      </c>
      <c r="AK326" s="335"/>
      <c r="AL326" s="335">
        <f t="shared" si="149"/>
      </c>
      <c r="AM326" s="335">
        <f t="shared" si="154"/>
      </c>
      <c r="AN326" s="360">
        <f t="shared" si="169"/>
        <v>0</v>
      </c>
    </row>
    <row r="327" spans="1:40" ht="12.75">
      <c r="A327" s="359">
        <f t="shared" si="139"/>
        <v>50860</v>
      </c>
      <c r="B327" s="334">
        <f t="shared" si="155"/>
        <v>315</v>
      </c>
      <c r="C327" s="335">
        <f t="shared" si="156"/>
      </c>
      <c r="D327" s="335"/>
      <c r="E327" s="335">
        <f t="shared" si="140"/>
      </c>
      <c r="F327" s="335">
        <f t="shared" si="150"/>
      </c>
      <c r="G327" s="360">
        <f t="shared" si="157"/>
        <v>0</v>
      </c>
      <c r="H327" s="336">
        <f t="shared" si="141"/>
      </c>
      <c r="I327" s="333"/>
      <c r="J327" s="359">
        <f t="shared" si="142"/>
        <v>50860</v>
      </c>
      <c r="K327" s="334">
        <f t="shared" si="158"/>
        <v>315</v>
      </c>
      <c r="L327" s="335">
        <f t="shared" si="159"/>
      </c>
      <c r="M327" s="335"/>
      <c r="N327" s="335">
        <f t="shared" si="143"/>
      </c>
      <c r="O327" s="335">
        <f t="shared" si="151"/>
      </c>
      <c r="P327" s="360">
        <f t="shared" si="160"/>
        <v>0</v>
      </c>
      <c r="R327" s="359">
        <f t="shared" si="144"/>
        <v>50860</v>
      </c>
      <c r="S327" s="334">
        <f t="shared" si="161"/>
        <v>315</v>
      </c>
      <c r="T327" s="335">
        <f t="shared" si="162"/>
      </c>
      <c r="U327" s="335"/>
      <c r="V327" s="335">
        <f t="shared" si="145"/>
      </c>
      <c r="W327" s="335">
        <f t="shared" si="152"/>
      </c>
      <c r="X327" s="360">
        <f t="shared" si="163"/>
        <v>0</v>
      </c>
      <c r="Z327" s="359">
        <f t="shared" si="146"/>
        <v>50860</v>
      </c>
      <c r="AA327" s="334">
        <f t="shared" si="164"/>
        <v>315</v>
      </c>
      <c r="AB327" s="335">
        <f t="shared" si="165"/>
      </c>
      <c r="AC327" s="335"/>
      <c r="AD327" s="335">
        <f t="shared" si="147"/>
      </c>
      <c r="AE327" s="335">
        <f t="shared" si="153"/>
      </c>
      <c r="AF327" s="360">
        <f t="shared" si="166"/>
        <v>0</v>
      </c>
      <c r="AH327" s="359">
        <f t="shared" si="148"/>
        <v>50860</v>
      </c>
      <c r="AI327" s="334">
        <f t="shared" si="167"/>
        <v>315</v>
      </c>
      <c r="AJ327" s="335">
        <f t="shared" si="168"/>
      </c>
      <c r="AK327" s="335"/>
      <c r="AL327" s="335">
        <f t="shared" si="149"/>
      </c>
      <c r="AM327" s="335">
        <f t="shared" si="154"/>
      </c>
      <c r="AN327" s="360">
        <f t="shared" si="169"/>
        <v>0</v>
      </c>
    </row>
    <row r="328" spans="1:40" ht="12.75">
      <c r="A328" s="359">
        <f t="shared" si="139"/>
        <v>50890</v>
      </c>
      <c r="B328" s="334">
        <f t="shared" si="155"/>
        <v>316</v>
      </c>
      <c r="C328" s="335">
        <f t="shared" si="156"/>
      </c>
      <c r="D328" s="335"/>
      <c r="E328" s="335">
        <f t="shared" si="140"/>
      </c>
      <c r="F328" s="335">
        <f t="shared" si="150"/>
      </c>
      <c r="G328" s="360">
        <f t="shared" si="157"/>
        <v>0</v>
      </c>
      <c r="H328" s="336">
        <f t="shared" si="141"/>
      </c>
      <c r="I328" s="333"/>
      <c r="J328" s="359">
        <f t="shared" si="142"/>
        <v>50890</v>
      </c>
      <c r="K328" s="334">
        <f t="shared" si="158"/>
        <v>316</v>
      </c>
      <c r="L328" s="335">
        <f t="shared" si="159"/>
      </c>
      <c r="M328" s="335"/>
      <c r="N328" s="335">
        <f t="shared" si="143"/>
      </c>
      <c r="O328" s="335">
        <f t="shared" si="151"/>
      </c>
      <c r="P328" s="360">
        <f t="shared" si="160"/>
        <v>0</v>
      </c>
      <c r="R328" s="359">
        <f t="shared" si="144"/>
        <v>50890</v>
      </c>
      <c r="S328" s="334">
        <f t="shared" si="161"/>
        <v>316</v>
      </c>
      <c r="T328" s="335">
        <f t="shared" si="162"/>
      </c>
      <c r="U328" s="335"/>
      <c r="V328" s="335">
        <f t="shared" si="145"/>
      </c>
      <c r="W328" s="335">
        <f t="shared" si="152"/>
      </c>
      <c r="X328" s="360">
        <f t="shared" si="163"/>
        <v>0</v>
      </c>
      <c r="Z328" s="359">
        <f t="shared" si="146"/>
        <v>50890</v>
      </c>
      <c r="AA328" s="334">
        <f t="shared" si="164"/>
        <v>316</v>
      </c>
      <c r="AB328" s="335">
        <f t="shared" si="165"/>
      </c>
      <c r="AC328" s="335"/>
      <c r="AD328" s="335">
        <f t="shared" si="147"/>
      </c>
      <c r="AE328" s="335">
        <f t="shared" si="153"/>
      </c>
      <c r="AF328" s="360">
        <f t="shared" si="166"/>
        <v>0</v>
      </c>
      <c r="AH328" s="359">
        <f t="shared" si="148"/>
        <v>50890</v>
      </c>
      <c r="AI328" s="334">
        <f t="shared" si="167"/>
        <v>316</v>
      </c>
      <c r="AJ328" s="335">
        <f t="shared" si="168"/>
      </c>
      <c r="AK328" s="335"/>
      <c r="AL328" s="335">
        <f t="shared" si="149"/>
      </c>
      <c r="AM328" s="335">
        <f t="shared" si="154"/>
      </c>
      <c r="AN328" s="360">
        <f t="shared" si="169"/>
        <v>0</v>
      </c>
    </row>
    <row r="329" spans="1:40" ht="12.75">
      <c r="A329" s="359">
        <f t="shared" si="139"/>
        <v>50921</v>
      </c>
      <c r="B329" s="334">
        <f t="shared" si="155"/>
        <v>317</v>
      </c>
      <c r="C329" s="335">
        <f t="shared" si="156"/>
      </c>
      <c r="D329" s="335"/>
      <c r="E329" s="335">
        <f t="shared" si="140"/>
      </c>
      <c r="F329" s="335">
        <f t="shared" si="150"/>
      </c>
      <c r="G329" s="360">
        <f t="shared" si="157"/>
        <v>0</v>
      </c>
      <c r="H329" s="336">
        <f t="shared" si="141"/>
      </c>
      <c r="I329" s="333"/>
      <c r="J329" s="359">
        <f t="shared" si="142"/>
        <v>50921</v>
      </c>
      <c r="K329" s="334">
        <f t="shared" si="158"/>
        <v>317</v>
      </c>
      <c r="L329" s="335">
        <f t="shared" si="159"/>
      </c>
      <c r="M329" s="335"/>
      <c r="N329" s="335">
        <f t="shared" si="143"/>
      </c>
      <c r="O329" s="335">
        <f t="shared" si="151"/>
      </c>
      <c r="P329" s="360">
        <f t="shared" si="160"/>
        <v>0</v>
      </c>
      <c r="R329" s="359">
        <f t="shared" si="144"/>
        <v>50921</v>
      </c>
      <c r="S329" s="334">
        <f t="shared" si="161"/>
        <v>317</v>
      </c>
      <c r="T329" s="335">
        <f t="shared" si="162"/>
      </c>
      <c r="U329" s="335"/>
      <c r="V329" s="335">
        <f t="shared" si="145"/>
      </c>
      <c r="W329" s="335">
        <f t="shared" si="152"/>
      </c>
      <c r="X329" s="360">
        <f t="shared" si="163"/>
        <v>0</v>
      </c>
      <c r="Z329" s="359">
        <f t="shared" si="146"/>
        <v>50921</v>
      </c>
      <c r="AA329" s="334">
        <f t="shared" si="164"/>
        <v>317</v>
      </c>
      <c r="AB329" s="335">
        <f t="shared" si="165"/>
      </c>
      <c r="AC329" s="335"/>
      <c r="AD329" s="335">
        <f t="shared" si="147"/>
      </c>
      <c r="AE329" s="335">
        <f t="shared" si="153"/>
      </c>
      <c r="AF329" s="360">
        <f t="shared" si="166"/>
        <v>0</v>
      </c>
      <c r="AH329" s="359">
        <f t="shared" si="148"/>
        <v>50921</v>
      </c>
      <c r="AI329" s="334">
        <f t="shared" si="167"/>
        <v>317</v>
      </c>
      <c r="AJ329" s="335">
        <f t="shared" si="168"/>
      </c>
      <c r="AK329" s="335"/>
      <c r="AL329" s="335">
        <f t="shared" si="149"/>
      </c>
      <c r="AM329" s="335">
        <f t="shared" si="154"/>
      </c>
      <c r="AN329" s="360">
        <f t="shared" si="169"/>
        <v>0</v>
      </c>
    </row>
    <row r="330" spans="1:40" ht="12.75">
      <c r="A330" s="359">
        <f t="shared" si="139"/>
        <v>50951</v>
      </c>
      <c r="B330" s="334">
        <f t="shared" si="155"/>
        <v>318</v>
      </c>
      <c r="C330" s="335">
        <f t="shared" si="156"/>
      </c>
      <c r="D330" s="335"/>
      <c r="E330" s="335">
        <f t="shared" si="140"/>
      </c>
      <c r="F330" s="335">
        <f t="shared" si="150"/>
      </c>
      <c r="G330" s="360">
        <f t="shared" si="157"/>
        <v>0</v>
      </c>
      <c r="H330" s="336">
        <f t="shared" si="141"/>
      </c>
      <c r="I330" s="333"/>
      <c r="J330" s="359">
        <f t="shared" si="142"/>
        <v>50951</v>
      </c>
      <c r="K330" s="334">
        <f t="shared" si="158"/>
        <v>318</v>
      </c>
      <c r="L330" s="335">
        <f t="shared" si="159"/>
      </c>
      <c r="M330" s="335"/>
      <c r="N330" s="335">
        <f t="shared" si="143"/>
      </c>
      <c r="O330" s="335">
        <f t="shared" si="151"/>
      </c>
      <c r="P330" s="360">
        <f t="shared" si="160"/>
        <v>0</v>
      </c>
      <c r="R330" s="359">
        <f t="shared" si="144"/>
        <v>50951</v>
      </c>
      <c r="S330" s="334">
        <f t="shared" si="161"/>
        <v>318</v>
      </c>
      <c r="T330" s="335">
        <f t="shared" si="162"/>
      </c>
      <c r="U330" s="335"/>
      <c r="V330" s="335">
        <f t="shared" si="145"/>
      </c>
      <c r="W330" s="335">
        <f t="shared" si="152"/>
      </c>
      <c r="X330" s="360">
        <f t="shared" si="163"/>
        <v>0</v>
      </c>
      <c r="Z330" s="359">
        <f t="shared" si="146"/>
        <v>50951</v>
      </c>
      <c r="AA330" s="334">
        <f t="shared" si="164"/>
        <v>318</v>
      </c>
      <c r="AB330" s="335">
        <f t="shared" si="165"/>
      </c>
      <c r="AC330" s="335"/>
      <c r="AD330" s="335">
        <f t="shared" si="147"/>
      </c>
      <c r="AE330" s="335">
        <f t="shared" si="153"/>
      </c>
      <c r="AF330" s="360">
        <f t="shared" si="166"/>
        <v>0</v>
      </c>
      <c r="AH330" s="359">
        <f t="shared" si="148"/>
        <v>50951</v>
      </c>
      <c r="AI330" s="334">
        <f t="shared" si="167"/>
        <v>318</v>
      </c>
      <c r="AJ330" s="335">
        <f t="shared" si="168"/>
      </c>
      <c r="AK330" s="335"/>
      <c r="AL330" s="335">
        <f t="shared" si="149"/>
      </c>
      <c r="AM330" s="335">
        <f t="shared" si="154"/>
      </c>
      <c r="AN330" s="360">
        <f t="shared" si="169"/>
        <v>0</v>
      </c>
    </row>
    <row r="331" spans="1:40" ht="12.75">
      <c r="A331" s="359">
        <f t="shared" si="139"/>
        <v>50982</v>
      </c>
      <c r="B331" s="334">
        <f t="shared" si="155"/>
        <v>319</v>
      </c>
      <c r="C331" s="335">
        <f t="shared" si="156"/>
      </c>
      <c r="D331" s="335"/>
      <c r="E331" s="335">
        <f t="shared" si="140"/>
      </c>
      <c r="F331" s="335">
        <f t="shared" si="150"/>
      </c>
      <c r="G331" s="360">
        <f t="shared" si="157"/>
        <v>0</v>
      </c>
      <c r="H331" s="336">
        <f t="shared" si="141"/>
      </c>
      <c r="I331" s="333"/>
      <c r="J331" s="359">
        <f t="shared" si="142"/>
        <v>50982</v>
      </c>
      <c r="K331" s="334">
        <f t="shared" si="158"/>
        <v>319</v>
      </c>
      <c r="L331" s="335">
        <f t="shared" si="159"/>
      </c>
      <c r="M331" s="335"/>
      <c r="N331" s="335">
        <f t="shared" si="143"/>
      </c>
      <c r="O331" s="335">
        <f t="shared" si="151"/>
      </c>
      <c r="P331" s="360">
        <f t="shared" si="160"/>
        <v>0</v>
      </c>
      <c r="R331" s="359">
        <f t="shared" si="144"/>
        <v>50982</v>
      </c>
      <c r="S331" s="334">
        <f t="shared" si="161"/>
        <v>319</v>
      </c>
      <c r="T331" s="335">
        <f t="shared" si="162"/>
      </c>
      <c r="U331" s="335"/>
      <c r="V331" s="335">
        <f t="shared" si="145"/>
      </c>
      <c r="W331" s="335">
        <f t="shared" si="152"/>
      </c>
      <c r="X331" s="360">
        <f t="shared" si="163"/>
        <v>0</v>
      </c>
      <c r="Z331" s="359">
        <f t="shared" si="146"/>
        <v>50982</v>
      </c>
      <c r="AA331" s="334">
        <f t="shared" si="164"/>
        <v>319</v>
      </c>
      <c r="AB331" s="335">
        <f t="shared" si="165"/>
      </c>
      <c r="AC331" s="335"/>
      <c r="AD331" s="335">
        <f t="shared" si="147"/>
      </c>
      <c r="AE331" s="335">
        <f t="shared" si="153"/>
      </c>
      <c r="AF331" s="360">
        <f t="shared" si="166"/>
        <v>0</v>
      </c>
      <c r="AH331" s="359">
        <f t="shared" si="148"/>
        <v>50982</v>
      </c>
      <c r="AI331" s="334">
        <f t="shared" si="167"/>
        <v>319</v>
      </c>
      <c r="AJ331" s="335">
        <f t="shared" si="168"/>
      </c>
      <c r="AK331" s="335"/>
      <c r="AL331" s="335">
        <f t="shared" si="149"/>
      </c>
      <c r="AM331" s="335">
        <f t="shared" si="154"/>
      </c>
      <c r="AN331" s="360">
        <f t="shared" si="169"/>
        <v>0</v>
      </c>
    </row>
    <row r="332" spans="1:40" ht="12.75">
      <c r="A332" s="359">
        <f t="shared" si="139"/>
        <v>51013</v>
      </c>
      <c r="B332" s="334">
        <f t="shared" si="155"/>
        <v>320</v>
      </c>
      <c r="C332" s="335">
        <f t="shared" si="156"/>
      </c>
      <c r="D332" s="335"/>
      <c r="E332" s="335">
        <f t="shared" si="140"/>
      </c>
      <c r="F332" s="335">
        <f t="shared" si="150"/>
      </c>
      <c r="G332" s="360">
        <f t="shared" si="157"/>
        <v>0</v>
      </c>
      <c r="H332" s="336">
        <f t="shared" si="141"/>
      </c>
      <c r="I332" s="333"/>
      <c r="J332" s="359">
        <f t="shared" si="142"/>
        <v>51013</v>
      </c>
      <c r="K332" s="334">
        <f t="shared" si="158"/>
        <v>320</v>
      </c>
      <c r="L332" s="335">
        <f t="shared" si="159"/>
      </c>
      <c r="M332" s="335"/>
      <c r="N332" s="335">
        <f t="shared" si="143"/>
      </c>
      <c r="O332" s="335">
        <f t="shared" si="151"/>
      </c>
      <c r="P332" s="360">
        <f t="shared" si="160"/>
        <v>0</v>
      </c>
      <c r="R332" s="359">
        <f t="shared" si="144"/>
        <v>51013</v>
      </c>
      <c r="S332" s="334">
        <f t="shared" si="161"/>
        <v>320</v>
      </c>
      <c r="T332" s="335">
        <f t="shared" si="162"/>
      </c>
      <c r="U332" s="335"/>
      <c r="V332" s="335">
        <f t="shared" si="145"/>
      </c>
      <c r="W332" s="335">
        <f t="shared" si="152"/>
      </c>
      <c r="X332" s="360">
        <f t="shared" si="163"/>
        <v>0</v>
      </c>
      <c r="Z332" s="359">
        <f t="shared" si="146"/>
        <v>51013</v>
      </c>
      <c r="AA332" s="334">
        <f t="shared" si="164"/>
        <v>320</v>
      </c>
      <c r="AB332" s="335">
        <f t="shared" si="165"/>
      </c>
      <c r="AC332" s="335"/>
      <c r="AD332" s="335">
        <f t="shared" si="147"/>
      </c>
      <c r="AE332" s="335">
        <f t="shared" si="153"/>
      </c>
      <c r="AF332" s="360">
        <f t="shared" si="166"/>
        <v>0</v>
      </c>
      <c r="AH332" s="359">
        <f t="shared" si="148"/>
        <v>51013</v>
      </c>
      <c r="AI332" s="334">
        <f t="shared" si="167"/>
        <v>320</v>
      </c>
      <c r="AJ332" s="335">
        <f t="shared" si="168"/>
      </c>
      <c r="AK332" s="335"/>
      <c r="AL332" s="335">
        <f t="shared" si="149"/>
      </c>
      <c r="AM332" s="335">
        <f t="shared" si="154"/>
      </c>
      <c r="AN332" s="360">
        <f t="shared" si="169"/>
        <v>0</v>
      </c>
    </row>
    <row r="333" spans="1:40" ht="12.75">
      <c r="A333" s="359">
        <f t="shared" si="139"/>
        <v>51043</v>
      </c>
      <c r="B333" s="334">
        <f t="shared" si="155"/>
        <v>321</v>
      </c>
      <c r="C333" s="335">
        <f t="shared" si="156"/>
      </c>
      <c r="D333" s="335"/>
      <c r="E333" s="335">
        <f t="shared" si="140"/>
      </c>
      <c r="F333" s="335">
        <f t="shared" si="150"/>
      </c>
      <c r="G333" s="360">
        <f t="shared" si="157"/>
        <v>0</v>
      </c>
      <c r="H333" s="336">
        <f t="shared" si="141"/>
      </c>
      <c r="I333" s="333"/>
      <c r="J333" s="359">
        <f t="shared" si="142"/>
        <v>51043</v>
      </c>
      <c r="K333" s="334">
        <f t="shared" si="158"/>
        <v>321</v>
      </c>
      <c r="L333" s="335">
        <f t="shared" si="159"/>
      </c>
      <c r="M333" s="335"/>
      <c r="N333" s="335">
        <f t="shared" si="143"/>
      </c>
      <c r="O333" s="335">
        <f t="shared" si="151"/>
      </c>
      <c r="P333" s="360">
        <f t="shared" si="160"/>
        <v>0</v>
      </c>
      <c r="R333" s="359">
        <f t="shared" si="144"/>
        <v>51043</v>
      </c>
      <c r="S333" s="334">
        <f t="shared" si="161"/>
        <v>321</v>
      </c>
      <c r="T333" s="335">
        <f t="shared" si="162"/>
      </c>
      <c r="U333" s="335"/>
      <c r="V333" s="335">
        <f t="shared" si="145"/>
      </c>
      <c r="W333" s="335">
        <f t="shared" si="152"/>
      </c>
      <c r="X333" s="360">
        <f t="shared" si="163"/>
        <v>0</v>
      </c>
      <c r="Z333" s="359">
        <f t="shared" si="146"/>
        <v>51043</v>
      </c>
      <c r="AA333" s="334">
        <f t="shared" si="164"/>
        <v>321</v>
      </c>
      <c r="AB333" s="335">
        <f t="shared" si="165"/>
      </c>
      <c r="AC333" s="335"/>
      <c r="AD333" s="335">
        <f t="shared" si="147"/>
      </c>
      <c r="AE333" s="335">
        <f t="shared" si="153"/>
      </c>
      <c r="AF333" s="360">
        <f t="shared" si="166"/>
        <v>0</v>
      </c>
      <c r="AH333" s="359">
        <f t="shared" si="148"/>
        <v>51043</v>
      </c>
      <c r="AI333" s="334">
        <f t="shared" si="167"/>
        <v>321</v>
      </c>
      <c r="AJ333" s="335">
        <f t="shared" si="168"/>
      </c>
      <c r="AK333" s="335"/>
      <c r="AL333" s="335">
        <f t="shared" si="149"/>
      </c>
      <c r="AM333" s="335">
        <f t="shared" si="154"/>
      </c>
      <c r="AN333" s="360">
        <f t="shared" si="169"/>
        <v>0</v>
      </c>
    </row>
    <row r="334" spans="1:40" ht="12.75">
      <c r="A334" s="359">
        <f aca="true" t="shared" si="170" ref="A334:A372">IF($C$8&lt;27,DATE((YEAR(A333)-1900),MONTH(A333)+1,$C$8),DATE((YEAR(A333)-1900),MONTH(A333)+2,1)-1)</f>
        <v>51074</v>
      </c>
      <c r="B334" s="334">
        <f t="shared" si="155"/>
        <v>322</v>
      </c>
      <c r="C334" s="335">
        <f t="shared" si="156"/>
      </c>
      <c r="D334" s="335"/>
      <c r="E334" s="335">
        <f aca="true" t="shared" si="171" ref="E334:E372">IF(G333&gt;0.5,$D$5*G333,"")</f>
      </c>
      <c r="F334" s="335">
        <f t="shared" si="150"/>
      </c>
      <c r="G334" s="360">
        <f t="shared" si="157"/>
        <v>0</v>
      </c>
      <c r="H334" s="336">
        <f aca="true" t="shared" si="172" ref="H334:H372">IF(G333&gt;0.5,E334*$J$5,"")</f>
      </c>
      <c r="I334" s="333"/>
      <c r="J334" s="359">
        <f aca="true" t="shared" si="173" ref="J334:J372">IF($C$8&lt;27,DATE((YEAR(J333)-1900),MONTH(J333)+1,$C$8),DATE((YEAR(J333)-1900),MONTH(J333)+2,1)-1)</f>
        <v>51074</v>
      </c>
      <c r="K334" s="334">
        <f t="shared" si="158"/>
        <v>322</v>
      </c>
      <c r="L334" s="335">
        <f t="shared" si="159"/>
      </c>
      <c r="M334" s="335"/>
      <c r="N334" s="335">
        <f aca="true" t="shared" si="174" ref="N334:N372">IF(P333&gt;0.5,$D$5*P333,"")</f>
      </c>
      <c r="O334" s="335">
        <f t="shared" si="151"/>
      </c>
      <c r="P334" s="360">
        <f t="shared" si="160"/>
        <v>0</v>
      </c>
      <c r="R334" s="359">
        <f aca="true" t="shared" si="175" ref="R334:R372">IF($C$8&lt;27,DATE((YEAR(R333)-1900),MONTH(R333)+1,$C$8),DATE((YEAR(R333)-1900),MONTH(R333)+2,1)-1)</f>
        <v>51074</v>
      </c>
      <c r="S334" s="334">
        <f t="shared" si="161"/>
        <v>322</v>
      </c>
      <c r="T334" s="335">
        <f t="shared" si="162"/>
      </c>
      <c r="U334" s="335"/>
      <c r="V334" s="335">
        <f aca="true" t="shared" si="176" ref="V334:V372">IF(X333&gt;0.5,$D$5*X333,"")</f>
      </c>
      <c r="W334" s="335">
        <f t="shared" si="152"/>
      </c>
      <c r="X334" s="360">
        <f t="shared" si="163"/>
        <v>0</v>
      </c>
      <c r="Z334" s="359">
        <f aca="true" t="shared" si="177" ref="Z334:Z372">IF($C$8&lt;27,DATE((YEAR(Z333)-1900),MONTH(Z333)+1,$C$8),DATE((YEAR(Z333)-1900),MONTH(Z333)+2,1)-1)</f>
        <v>51074</v>
      </c>
      <c r="AA334" s="334">
        <f t="shared" si="164"/>
        <v>322</v>
      </c>
      <c r="AB334" s="335">
        <f t="shared" si="165"/>
      </c>
      <c r="AC334" s="335"/>
      <c r="AD334" s="335">
        <f aca="true" t="shared" si="178" ref="AD334:AD372">IF(AF333&gt;0.5,$D$5*AF333,"")</f>
      </c>
      <c r="AE334" s="335">
        <f t="shared" si="153"/>
      </c>
      <c r="AF334" s="360">
        <f t="shared" si="166"/>
        <v>0</v>
      </c>
      <c r="AH334" s="359">
        <f aca="true" t="shared" si="179" ref="AH334:AH372">IF($C$8&lt;27,DATE((YEAR(AH333)-1900),MONTH(AH333)+1,$C$8),DATE((YEAR(AH333)-1900),MONTH(AH333)+2,1)-1)</f>
        <v>51074</v>
      </c>
      <c r="AI334" s="334">
        <f t="shared" si="167"/>
        <v>322</v>
      </c>
      <c r="AJ334" s="335">
        <f t="shared" si="168"/>
      </c>
      <c r="AK334" s="335"/>
      <c r="AL334" s="335">
        <f aca="true" t="shared" si="180" ref="AL334:AL372">IF(AN333&gt;0.5,$D$5*AN333,"")</f>
      </c>
      <c r="AM334" s="335">
        <f t="shared" si="154"/>
      </c>
      <c r="AN334" s="360">
        <f t="shared" si="169"/>
        <v>0</v>
      </c>
    </row>
    <row r="335" spans="1:40" ht="12.75">
      <c r="A335" s="359">
        <f t="shared" si="170"/>
        <v>51104</v>
      </c>
      <c r="B335" s="334">
        <f t="shared" si="155"/>
        <v>323</v>
      </c>
      <c r="C335" s="335">
        <f t="shared" si="156"/>
      </c>
      <c r="D335" s="335"/>
      <c r="E335" s="335">
        <f t="shared" si="171"/>
      </c>
      <c r="F335" s="335">
        <f aca="true" t="shared" si="181" ref="F335:F372">IF(G334&gt;0.5,C335-E335+D335,"")</f>
      </c>
      <c r="G335" s="360">
        <f t="shared" si="157"/>
        <v>0</v>
      </c>
      <c r="H335" s="336">
        <f t="shared" si="172"/>
      </c>
      <c r="I335" s="333"/>
      <c r="J335" s="359">
        <f t="shared" si="173"/>
        <v>51104</v>
      </c>
      <c r="K335" s="334">
        <f t="shared" si="158"/>
        <v>323</v>
      </c>
      <c r="L335" s="335">
        <f t="shared" si="159"/>
      </c>
      <c r="M335" s="335"/>
      <c r="N335" s="335">
        <f t="shared" si="174"/>
      </c>
      <c r="O335" s="335">
        <f aca="true" t="shared" si="182" ref="O335:O372">IF(P334&gt;0.5,L335-N335+M335,"")</f>
      </c>
      <c r="P335" s="360">
        <f t="shared" si="160"/>
        <v>0</v>
      </c>
      <c r="R335" s="359">
        <f t="shared" si="175"/>
        <v>51104</v>
      </c>
      <c r="S335" s="334">
        <f t="shared" si="161"/>
        <v>323</v>
      </c>
      <c r="T335" s="335">
        <f t="shared" si="162"/>
      </c>
      <c r="U335" s="335"/>
      <c r="V335" s="335">
        <f t="shared" si="176"/>
      </c>
      <c r="W335" s="335">
        <f aca="true" t="shared" si="183" ref="W335:W372">IF(X334&gt;0.5,T335-V335+U335,"")</f>
      </c>
      <c r="X335" s="360">
        <f t="shared" si="163"/>
        <v>0</v>
      </c>
      <c r="Z335" s="359">
        <f t="shared" si="177"/>
        <v>51104</v>
      </c>
      <c r="AA335" s="334">
        <f t="shared" si="164"/>
        <v>323</v>
      </c>
      <c r="AB335" s="335">
        <f t="shared" si="165"/>
      </c>
      <c r="AC335" s="335"/>
      <c r="AD335" s="335">
        <f t="shared" si="178"/>
      </c>
      <c r="AE335" s="335">
        <f aca="true" t="shared" si="184" ref="AE335:AE372">IF(AF334&gt;0.5,AB335-AD335+AC335,"")</f>
      </c>
      <c r="AF335" s="360">
        <f t="shared" si="166"/>
        <v>0</v>
      </c>
      <c r="AH335" s="359">
        <f t="shared" si="179"/>
        <v>51104</v>
      </c>
      <c r="AI335" s="334">
        <f t="shared" si="167"/>
        <v>323</v>
      </c>
      <c r="AJ335" s="335">
        <f t="shared" si="168"/>
      </c>
      <c r="AK335" s="335"/>
      <c r="AL335" s="335">
        <f t="shared" si="180"/>
      </c>
      <c r="AM335" s="335">
        <f aca="true" t="shared" si="185" ref="AM335:AM372">IF(AN334&gt;0.5,AJ335-AL335+AK335,"")</f>
      </c>
      <c r="AN335" s="360">
        <f t="shared" si="169"/>
        <v>0</v>
      </c>
    </row>
    <row r="336" spans="1:40" ht="12.75">
      <c r="A336" s="359">
        <f t="shared" si="170"/>
        <v>51135</v>
      </c>
      <c r="B336" s="334">
        <f t="shared" si="155"/>
        <v>324</v>
      </c>
      <c r="C336" s="335">
        <f t="shared" si="156"/>
      </c>
      <c r="D336" s="335"/>
      <c r="E336" s="335">
        <f t="shared" si="171"/>
      </c>
      <c r="F336" s="335">
        <f t="shared" si="181"/>
      </c>
      <c r="G336" s="360">
        <f t="shared" si="157"/>
        <v>0</v>
      </c>
      <c r="H336" s="336">
        <f t="shared" si="172"/>
      </c>
      <c r="I336" s="333"/>
      <c r="J336" s="359">
        <f t="shared" si="173"/>
        <v>51135</v>
      </c>
      <c r="K336" s="334">
        <f t="shared" si="158"/>
        <v>324</v>
      </c>
      <c r="L336" s="335">
        <f t="shared" si="159"/>
      </c>
      <c r="M336" s="335"/>
      <c r="N336" s="335">
        <f t="shared" si="174"/>
      </c>
      <c r="O336" s="335">
        <f t="shared" si="182"/>
      </c>
      <c r="P336" s="360">
        <f t="shared" si="160"/>
        <v>0</v>
      </c>
      <c r="R336" s="359">
        <f t="shared" si="175"/>
        <v>51135</v>
      </c>
      <c r="S336" s="334">
        <f t="shared" si="161"/>
        <v>324</v>
      </c>
      <c r="T336" s="335">
        <f t="shared" si="162"/>
      </c>
      <c r="U336" s="335"/>
      <c r="V336" s="335">
        <f t="shared" si="176"/>
      </c>
      <c r="W336" s="335">
        <f t="shared" si="183"/>
      </c>
      <c r="X336" s="360">
        <f t="shared" si="163"/>
        <v>0</v>
      </c>
      <c r="Z336" s="359">
        <f t="shared" si="177"/>
        <v>51135</v>
      </c>
      <c r="AA336" s="334">
        <f t="shared" si="164"/>
        <v>324</v>
      </c>
      <c r="AB336" s="335">
        <f t="shared" si="165"/>
      </c>
      <c r="AC336" s="335"/>
      <c r="AD336" s="335">
        <f t="shared" si="178"/>
      </c>
      <c r="AE336" s="335">
        <f t="shared" si="184"/>
      </c>
      <c r="AF336" s="360">
        <f t="shared" si="166"/>
        <v>0</v>
      </c>
      <c r="AH336" s="359">
        <f t="shared" si="179"/>
        <v>51135</v>
      </c>
      <c r="AI336" s="334">
        <f t="shared" si="167"/>
        <v>324</v>
      </c>
      <c r="AJ336" s="335">
        <f t="shared" si="168"/>
      </c>
      <c r="AK336" s="335"/>
      <c r="AL336" s="335">
        <f t="shared" si="180"/>
      </c>
      <c r="AM336" s="335">
        <f t="shared" si="185"/>
      </c>
      <c r="AN336" s="360">
        <f t="shared" si="169"/>
        <v>0</v>
      </c>
    </row>
    <row r="337" spans="1:40" ht="12.75">
      <c r="A337" s="359">
        <f t="shared" si="170"/>
        <v>51166</v>
      </c>
      <c r="B337" s="334">
        <f t="shared" si="155"/>
        <v>325</v>
      </c>
      <c r="C337" s="335">
        <f t="shared" si="156"/>
      </c>
      <c r="D337" s="335"/>
      <c r="E337" s="335">
        <f t="shared" si="171"/>
      </c>
      <c r="F337" s="335">
        <f t="shared" si="181"/>
      </c>
      <c r="G337" s="360">
        <f t="shared" si="157"/>
        <v>0</v>
      </c>
      <c r="H337" s="336">
        <f t="shared" si="172"/>
      </c>
      <c r="I337" s="333"/>
      <c r="J337" s="359">
        <f t="shared" si="173"/>
        <v>51166</v>
      </c>
      <c r="K337" s="334">
        <f t="shared" si="158"/>
        <v>325</v>
      </c>
      <c r="L337" s="335">
        <f t="shared" si="159"/>
      </c>
      <c r="M337" s="335"/>
      <c r="N337" s="335">
        <f t="shared" si="174"/>
      </c>
      <c r="O337" s="335">
        <f t="shared" si="182"/>
      </c>
      <c r="P337" s="360">
        <f t="shared" si="160"/>
        <v>0</v>
      </c>
      <c r="R337" s="359">
        <f t="shared" si="175"/>
        <v>51166</v>
      </c>
      <c r="S337" s="334">
        <f t="shared" si="161"/>
        <v>325</v>
      </c>
      <c r="T337" s="335">
        <f t="shared" si="162"/>
      </c>
      <c r="U337" s="335"/>
      <c r="V337" s="335">
        <f t="shared" si="176"/>
      </c>
      <c r="W337" s="335">
        <f t="shared" si="183"/>
      </c>
      <c r="X337" s="360">
        <f t="shared" si="163"/>
        <v>0</v>
      </c>
      <c r="Z337" s="359">
        <f t="shared" si="177"/>
        <v>51166</v>
      </c>
      <c r="AA337" s="334">
        <f t="shared" si="164"/>
        <v>325</v>
      </c>
      <c r="AB337" s="335">
        <f t="shared" si="165"/>
      </c>
      <c r="AC337" s="335"/>
      <c r="AD337" s="335">
        <f t="shared" si="178"/>
      </c>
      <c r="AE337" s="335">
        <f t="shared" si="184"/>
      </c>
      <c r="AF337" s="360">
        <f t="shared" si="166"/>
        <v>0</v>
      </c>
      <c r="AH337" s="359">
        <f t="shared" si="179"/>
        <v>51166</v>
      </c>
      <c r="AI337" s="334">
        <f t="shared" si="167"/>
        <v>325</v>
      </c>
      <c r="AJ337" s="335">
        <f t="shared" si="168"/>
      </c>
      <c r="AK337" s="335"/>
      <c r="AL337" s="335">
        <f t="shared" si="180"/>
      </c>
      <c r="AM337" s="335">
        <f t="shared" si="185"/>
      </c>
      <c r="AN337" s="360">
        <f t="shared" si="169"/>
        <v>0</v>
      </c>
    </row>
    <row r="338" spans="1:40" ht="12.75">
      <c r="A338" s="359">
        <f t="shared" si="170"/>
        <v>51195</v>
      </c>
      <c r="B338" s="334">
        <f t="shared" si="155"/>
        <v>326</v>
      </c>
      <c r="C338" s="335">
        <f t="shared" si="156"/>
      </c>
      <c r="D338" s="335"/>
      <c r="E338" s="335">
        <f t="shared" si="171"/>
      </c>
      <c r="F338" s="335">
        <f t="shared" si="181"/>
      </c>
      <c r="G338" s="360">
        <f t="shared" si="157"/>
        <v>0</v>
      </c>
      <c r="H338" s="336">
        <f t="shared" si="172"/>
      </c>
      <c r="I338" s="333"/>
      <c r="J338" s="359">
        <f t="shared" si="173"/>
        <v>51195</v>
      </c>
      <c r="K338" s="334">
        <f t="shared" si="158"/>
        <v>326</v>
      </c>
      <c r="L338" s="335">
        <f t="shared" si="159"/>
      </c>
      <c r="M338" s="335"/>
      <c r="N338" s="335">
        <f t="shared" si="174"/>
      </c>
      <c r="O338" s="335">
        <f t="shared" si="182"/>
      </c>
      <c r="P338" s="360">
        <f t="shared" si="160"/>
        <v>0</v>
      </c>
      <c r="R338" s="359">
        <f t="shared" si="175"/>
        <v>51195</v>
      </c>
      <c r="S338" s="334">
        <f t="shared" si="161"/>
        <v>326</v>
      </c>
      <c r="T338" s="335">
        <f t="shared" si="162"/>
      </c>
      <c r="U338" s="335"/>
      <c r="V338" s="335">
        <f t="shared" si="176"/>
      </c>
      <c r="W338" s="335">
        <f t="shared" si="183"/>
      </c>
      <c r="X338" s="360">
        <f t="shared" si="163"/>
        <v>0</v>
      </c>
      <c r="Z338" s="359">
        <f t="shared" si="177"/>
        <v>51195</v>
      </c>
      <c r="AA338" s="334">
        <f t="shared" si="164"/>
        <v>326</v>
      </c>
      <c r="AB338" s="335">
        <f t="shared" si="165"/>
      </c>
      <c r="AC338" s="335"/>
      <c r="AD338" s="335">
        <f t="shared" si="178"/>
      </c>
      <c r="AE338" s="335">
        <f t="shared" si="184"/>
      </c>
      <c r="AF338" s="360">
        <f t="shared" si="166"/>
        <v>0</v>
      </c>
      <c r="AH338" s="359">
        <f t="shared" si="179"/>
        <v>51195</v>
      </c>
      <c r="AI338" s="334">
        <f t="shared" si="167"/>
        <v>326</v>
      </c>
      <c r="AJ338" s="335">
        <f t="shared" si="168"/>
      </c>
      <c r="AK338" s="335"/>
      <c r="AL338" s="335">
        <f t="shared" si="180"/>
      </c>
      <c r="AM338" s="335">
        <f t="shared" si="185"/>
      </c>
      <c r="AN338" s="360">
        <f t="shared" si="169"/>
        <v>0</v>
      </c>
    </row>
    <row r="339" spans="1:40" ht="12.75">
      <c r="A339" s="359">
        <f t="shared" si="170"/>
        <v>51226</v>
      </c>
      <c r="B339" s="334">
        <f t="shared" si="155"/>
        <v>327</v>
      </c>
      <c r="C339" s="335">
        <f t="shared" si="156"/>
      </c>
      <c r="D339" s="335"/>
      <c r="E339" s="335">
        <f t="shared" si="171"/>
      </c>
      <c r="F339" s="335">
        <f t="shared" si="181"/>
      </c>
      <c r="G339" s="360">
        <f t="shared" si="157"/>
        <v>0</v>
      </c>
      <c r="H339" s="336">
        <f t="shared" si="172"/>
      </c>
      <c r="I339" s="333"/>
      <c r="J339" s="359">
        <f t="shared" si="173"/>
        <v>51226</v>
      </c>
      <c r="K339" s="334">
        <f t="shared" si="158"/>
        <v>327</v>
      </c>
      <c r="L339" s="335">
        <f t="shared" si="159"/>
      </c>
      <c r="M339" s="335"/>
      <c r="N339" s="335">
        <f t="shared" si="174"/>
      </c>
      <c r="O339" s="335">
        <f t="shared" si="182"/>
      </c>
      <c r="P339" s="360">
        <f t="shared" si="160"/>
        <v>0</v>
      </c>
      <c r="R339" s="359">
        <f t="shared" si="175"/>
        <v>51226</v>
      </c>
      <c r="S339" s="334">
        <f t="shared" si="161"/>
        <v>327</v>
      </c>
      <c r="T339" s="335">
        <f t="shared" si="162"/>
      </c>
      <c r="U339" s="335"/>
      <c r="V339" s="335">
        <f t="shared" si="176"/>
      </c>
      <c r="W339" s="335">
        <f t="shared" si="183"/>
      </c>
      <c r="X339" s="360">
        <f t="shared" si="163"/>
        <v>0</v>
      </c>
      <c r="Z339" s="359">
        <f t="shared" si="177"/>
        <v>51226</v>
      </c>
      <c r="AA339" s="334">
        <f t="shared" si="164"/>
        <v>327</v>
      </c>
      <c r="AB339" s="335">
        <f t="shared" si="165"/>
      </c>
      <c r="AC339" s="335"/>
      <c r="AD339" s="335">
        <f t="shared" si="178"/>
      </c>
      <c r="AE339" s="335">
        <f t="shared" si="184"/>
      </c>
      <c r="AF339" s="360">
        <f t="shared" si="166"/>
        <v>0</v>
      </c>
      <c r="AH339" s="359">
        <f t="shared" si="179"/>
        <v>51226</v>
      </c>
      <c r="AI339" s="334">
        <f t="shared" si="167"/>
        <v>327</v>
      </c>
      <c r="AJ339" s="335">
        <f t="shared" si="168"/>
      </c>
      <c r="AK339" s="335"/>
      <c r="AL339" s="335">
        <f t="shared" si="180"/>
      </c>
      <c r="AM339" s="335">
        <f t="shared" si="185"/>
      </c>
      <c r="AN339" s="360">
        <f t="shared" si="169"/>
        <v>0</v>
      </c>
    </row>
    <row r="340" spans="1:40" ht="12.75">
      <c r="A340" s="359">
        <f t="shared" si="170"/>
        <v>51256</v>
      </c>
      <c r="B340" s="334">
        <f t="shared" si="155"/>
        <v>328</v>
      </c>
      <c r="C340" s="335">
        <f t="shared" si="156"/>
      </c>
      <c r="D340" s="335"/>
      <c r="E340" s="335">
        <f t="shared" si="171"/>
      </c>
      <c r="F340" s="335">
        <f t="shared" si="181"/>
      </c>
      <c r="G340" s="360">
        <f t="shared" si="157"/>
        <v>0</v>
      </c>
      <c r="H340" s="336">
        <f t="shared" si="172"/>
      </c>
      <c r="I340" s="333"/>
      <c r="J340" s="359">
        <f t="shared" si="173"/>
        <v>51256</v>
      </c>
      <c r="K340" s="334">
        <f t="shared" si="158"/>
        <v>328</v>
      </c>
      <c r="L340" s="335">
        <f t="shared" si="159"/>
      </c>
      <c r="M340" s="335"/>
      <c r="N340" s="335">
        <f t="shared" si="174"/>
      </c>
      <c r="O340" s="335">
        <f t="shared" si="182"/>
      </c>
      <c r="P340" s="360">
        <f t="shared" si="160"/>
        <v>0</v>
      </c>
      <c r="R340" s="359">
        <f t="shared" si="175"/>
        <v>51256</v>
      </c>
      <c r="S340" s="334">
        <f t="shared" si="161"/>
        <v>328</v>
      </c>
      <c r="T340" s="335">
        <f t="shared" si="162"/>
      </c>
      <c r="U340" s="335"/>
      <c r="V340" s="335">
        <f t="shared" si="176"/>
      </c>
      <c r="W340" s="335">
        <f t="shared" si="183"/>
      </c>
      <c r="X340" s="360">
        <f t="shared" si="163"/>
        <v>0</v>
      </c>
      <c r="Z340" s="359">
        <f t="shared" si="177"/>
        <v>51256</v>
      </c>
      <c r="AA340" s="334">
        <f t="shared" si="164"/>
        <v>328</v>
      </c>
      <c r="AB340" s="335">
        <f t="shared" si="165"/>
      </c>
      <c r="AC340" s="335"/>
      <c r="AD340" s="335">
        <f t="shared" si="178"/>
      </c>
      <c r="AE340" s="335">
        <f t="shared" si="184"/>
      </c>
      <c r="AF340" s="360">
        <f t="shared" si="166"/>
        <v>0</v>
      </c>
      <c r="AH340" s="359">
        <f t="shared" si="179"/>
        <v>51256</v>
      </c>
      <c r="AI340" s="334">
        <f t="shared" si="167"/>
        <v>328</v>
      </c>
      <c r="AJ340" s="335">
        <f t="shared" si="168"/>
      </c>
      <c r="AK340" s="335"/>
      <c r="AL340" s="335">
        <f t="shared" si="180"/>
      </c>
      <c r="AM340" s="335">
        <f t="shared" si="185"/>
      </c>
      <c r="AN340" s="360">
        <f t="shared" si="169"/>
        <v>0</v>
      </c>
    </row>
    <row r="341" spans="1:40" ht="12.75">
      <c r="A341" s="359">
        <f t="shared" si="170"/>
        <v>51287</v>
      </c>
      <c r="B341" s="334">
        <f t="shared" si="155"/>
        <v>329</v>
      </c>
      <c r="C341" s="335">
        <f t="shared" si="156"/>
      </c>
      <c r="D341" s="335"/>
      <c r="E341" s="335">
        <f t="shared" si="171"/>
      </c>
      <c r="F341" s="335">
        <f t="shared" si="181"/>
      </c>
      <c r="G341" s="360">
        <f t="shared" si="157"/>
        <v>0</v>
      </c>
      <c r="H341" s="336">
        <f t="shared" si="172"/>
      </c>
      <c r="I341" s="333"/>
      <c r="J341" s="359">
        <f t="shared" si="173"/>
        <v>51287</v>
      </c>
      <c r="K341" s="334">
        <f t="shared" si="158"/>
        <v>329</v>
      </c>
      <c r="L341" s="335">
        <f t="shared" si="159"/>
      </c>
      <c r="M341" s="335"/>
      <c r="N341" s="335">
        <f t="shared" si="174"/>
      </c>
      <c r="O341" s="335">
        <f t="shared" si="182"/>
      </c>
      <c r="P341" s="360">
        <f t="shared" si="160"/>
        <v>0</v>
      </c>
      <c r="R341" s="359">
        <f t="shared" si="175"/>
        <v>51287</v>
      </c>
      <c r="S341" s="334">
        <f t="shared" si="161"/>
        <v>329</v>
      </c>
      <c r="T341" s="335">
        <f t="shared" si="162"/>
      </c>
      <c r="U341" s="335"/>
      <c r="V341" s="335">
        <f t="shared" si="176"/>
      </c>
      <c r="W341" s="335">
        <f t="shared" si="183"/>
      </c>
      <c r="X341" s="360">
        <f t="shared" si="163"/>
        <v>0</v>
      </c>
      <c r="Z341" s="359">
        <f t="shared" si="177"/>
        <v>51287</v>
      </c>
      <c r="AA341" s="334">
        <f t="shared" si="164"/>
        <v>329</v>
      </c>
      <c r="AB341" s="335">
        <f t="shared" si="165"/>
      </c>
      <c r="AC341" s="335"/>
      <c r="AD341" s="335">
        <f t="shared" si="178"/>
      </c>
      <c r="AE341" s="335">
        <f t="shared" si="184"/>
      </c>
      <c r="AF341" s="360">
        <f t="shared" si="166"/>
        <v>0</v>
      </c>
      <c r="AH341" s="359">
        <f t="shared" si="179"/>
        <v>51287</v>
      </c>
      <c r="AI341" s="334">
        <f t="shared" si="167"/>
        <v>329</v>
      </c>
      <c r="AJ341" s="335">
        <f t="shared" si="168"/>
      </c>
      <c r="AK341" s="335"/>
      <c r="AL341" s="335">
        <f t="shared" si="180"/>
      </c>
      <c r="AM341" s="335">
        <f t="shared" si="185"/>
      </c>
      <c r="AN341" s="360">
        <f t="shared" si="169"/>
        <v>0</v>
      </c>
    </row>
    <row r="342" spans="1:40" ht="12.75">
      <c r="A342" s="359">
        <f t="shared" si="170"/>
        <v>51317</v>
      </c>
      <c r="B342" s="334">
        <f t="shared" si="155"/>
        <v>330</v>
      </c>
      <c r="C342" s="335">
        <f t="shared" si="156"/>
      </c>
      <c r="D342" s="335"/>
      <c r="E342" s="335">
        <f t="shared" si="171"/>
      </c>
      <c r="F342" s="335">
        <f t="shared" si="181"/>
      </c>
      <c r="G342" s="360">
        <f t="shared" si="157"/>
        <v>0</v>
      </c>
      <c r="H342" s="336">
        <f t="shared" si="172"/>
      </c>
      <c r="I342" s="333"/>
      <c r="J342" s="359">
        <f t="shared" si="173"/>
        <v>51317</v>
      </c>
      <c r="K342" s="334">
        <f t="shared" si="158"/>
        <v>330</v>
      </c>
      <c r="L342" s="335">
        <f t="shared" si="159"/>
      </c>
      <c r="M342" s="335"/>
      <c r="N342" s="335">
        <f t="shared" si="174"/>
      </c>
      <c r="O342" s="335">
        <f t="shared" si="182"/>
      </c>
      <c r="P342" s="360">
        <f t="shared" si="160"/>
        <v>0</v>
      </c>
      <c r="R342" s="359">
        <f t="shared" si="175"/>
        <v>51317</v>
      </c>
      <c r="S342" s="334">
        <f t="shared" si="161"/>
        <v>330</v>
      </c>
      <c r="T342" s="335">
        <f t="shared" si="162"/>
      </c>
      <c r="U342" s="335"/>
      <c r="V342" s="335">
        <f t="shared" si="176"/>
      </c>
      <c r="W342" s="335">
        <f t="shared" si="183"/>
      </c>
      <c r="X342" s="360">
        <f t="shared" si="163"/>
        <v>0</v>
      </c>
      <c r="Z342" s="359">
        <f t="shared" si="177"/>
        <v>51317</v>
      </c>
      <c r="AA342" s="334">
        <f t="shared" si="164"/>
        <v>330</v>
      </c>
      <c r="AB342" s="335">
        <f t="shared" si="165"/>
      </c>
      <c r="AC342" s="335"/>
      <c r="AD342" s="335">
        <f t="shared" si="178"/>
      </c>
      <c r="AE342" s="335">
        <f t="shared" si="184"/>
      </c>
      <c r="AF342" s="360">
        <f t="shared" si="166"/>
        <v>0</v>
      </c>
      <c r="AH342" s="359">
        <f t="shared" si="179"/>
        <v>51317</v>
      </c>
      <c r="AI342" s="334">
        <f t="shared" si="167"/>
        <v>330</v>
      </c>
      <c r="AJ342" s="335">
        <f t="shared" si="168"/>
      </c>
      <c r="AK342" s="335"/>
      <c r="AL342" s="335">
        <f t="shared" si="180"/>
      </c>
      <c r="AM342" s="335">
        <f t="shared" si="185"/>
      </c>
      <c r="AN342" s="360">
        <f t="shared" si="169"/>
        <v>0</v>
      </c>
    </row>
    <row r="343" spans="1:40" ht="12.75">
      <c r="A343" s="359">
        <f t="shared" si="170"/>
        <v>51348</v>
      </c>
      <c r="B343" s="334">
        <f t="shared" si="155"/>
        <v>331</v>
      </c>
      <c r="C343" s="335">
        <f t="shared" si="156"/>
      </c>
      <c r="D343" s="335"/>
      <c r="E343" s="335">
        <f t="shared" si="171"/>
      </c>
      <c r="F343" s="335">
        <f t="shared" si="181"/>
      </c>
      <c r="G343" s="360">
        <f t="shared" si="157"/>
        <v>0</v>
      </c>
      <c r="H343" s="336">
        <f t="shared" si="172"/>
      </c>
      <c r="I343" s="333"/>
      <c r="J343" s="359">
        <f t="shared" si="173"/>
        <v>51348</v>
      </c>
      <c r="K343" s="334">
        <f t="shared" si="158"/>
        <v>331</v>
      </c>
      <c r="L343" s="335">
        <f t="shared" si="159"/>
      </c>
      <c r="M343" s="335"/>
      <c r="N343" s="335">
        <f t="shared" si="174"/>
      </c>
      <c r="O343" s="335">
        <f t="shared" si="182"/>
      </c>
      <c r="P343" s="360">
        <f t="shared" si="160"/>
        <v>0</v>
      </c>
      <c r="R343" s="359">
        <f t="shared" si="175"/>
        <v>51348</v>
      </c>
      <c r="S343" s="334">
        <f t="shared" si="161"/>
        <v>331</v>
      </c>
      <c r="T343" s="335">
        <f t="shared" si="162"/>
      </c>
      <c r="U343" s="335"/>
      <c r="V343" s="335">
        <f t="shared" si="176"/>
      </c>
      <c r="W343" s="335">
        <f t="shared" si="183"/>
      </c>
      <c r="X343" s="360">
        <f t="shared" si="163"/>
        <v>0</v>
      </c>
      <c r="Z343" s="359">
        <f t="shared" si="177"/>
        <v>51348</v>
      </c>
      <c r="AA343" s="334">
        <f t="shared" si="164"/>
        <v>331</v>
      </c>
      <c r="AB343" s="335">
        <f t="shared" si="165"/>
      </c>
      <c r="AC343" s="335"/>
      <c r="AD343" s="335">
        <f t="shared" si="178"/>
      </c>
      <c r="AE343" s="335">
        <f t="shared" si="184"/>
      </c>
      <c r="AF343" s="360">
        <f t="shared" si="166"/>
        <v>0</v>
      </c>
      <c r="AH343" s="359">
        <f t="shared" si="179"/>
        <v>51348</v>
      </c>
      <c r="AI343" s="334">
        <f t="shared" si="167"/>
        <v>331</v>
      </c>
      <c r="AJ343" s="335">
        <f t="shared" si="168"/>
      </c>
      <c r="AK343" s="335"/>
      <c r="AL343" s="335">
        <f t="shared" si="180"/>
      </c>
      <c r="AM343" s="335">
        <f t="shared" si="185"/>
      </c>
      <c r="AN343" s="360">
        <f t="shared" si="169"/>
        <v>0</v>
      </c>
    </row>
    <row r="344" spans="1:40" ht="12.75">
      <c r="A344" s="359">
        <f t="shared" si="170"/>
        <v>51379</v>
      </c>
      <c r="B344" s="334">
        <f t="shared" si="155"/>
        <v>332</v>
      </c>
      <c r="C344" s="335">
        <f t="shared" si="156"/>
      </c>
      <c r="D344" s="335"/>
      <c r="E344" s="335">
        <f t="shared" si="171"/>
      </c>
      <c r="F344" s="335">
        <f t="shared" si="181"/>
      </c>
      <c r="G344" s="360">
        <f t="shared" si="157"/>
        <v>0</v>
      </c>
      <c r="H344" s="336">
        <f t="shared" si="172"/>
      </c>
      <c r="I344" s="333"/>
      <c r="J344" s="359">
        <f t="shared" si="173"/>
        <v>51379</v>
      </c>
      <c r="K344" s="334">
        <f t="shared" si="158"/>
        <v>332</v>
      </c>
      <c r="L344" s="335">
        <f t="shared" si="159"/>
      </c>
      <c r="M344" s="335"/>
      <c r="N344" s="335">
        <f t="shared" si="174"/>
      </c>
      <c r="O344" s="335">
        <f t="shared" si="182"/>
      </c>
      <c r="P344" s="360">
        <f t="shared" si="160"/>
        <v>0</v>
      </c>
      <c r="R344" s="359">
        <f t="shared" si="175"/>
        <v>51379</v>
      </c>
      <c r="S344" s="334">
        <f t="shared" si="161"/>
        <v>332</v>
      </c>
      <c r="T344" s="335">
        <f t="shared" si="162"/>
      </c>
      <c r="U344" s="335"/>
      <c r="V344" s="335">
        <f t="shared" si="176"/>
      </c>
      <c r="W344" s="335">
        <f t="shared" si="183"/>
      </c>
      <c r="X344" s="360">
        <f t="shared" si="163"/>
        <v>0</v>
      </c>
      <c r="Z344" s="359">
        <f t="shared" si="177"/>
        <v>51379</v>
      </c>
      <c r="AA344" s="334">
        <f t="shared" si="164"/>
        <v>332</v>
      </c>
      <c r="AB344" s="335">
        <f t="shared" si="165"/>
      </c>
      <c r="AC344" s="335"/>
      <c r="AD344" s="335">
        <f t="shared" si="178"/>
      </c>
      <c r="AE344" s="335">
        <f t="shared" si="184"/>
      </c>
      <c r="AF344" s="360">
        <f t="shared" si="166"/>
        <v>0</v>
      </c>
      <c r="AH344" s="359">
        <f t="shared" si="179"/>
        <v>51379</v>
      </c>
      <c r="AI344" s="334">
        <f t="shared" si="167"/>
        <v>332</v>
      </c>
      <c r="AJ344" s="335">
        <f t="shared" si="168"/>
      </c>
      <c r="AK344" s="335"/>
      <c r="AL344" s="335">
        <f t="shared" si="180"/>
      </c>
      <c r="AM344" s="335">
        <f t="shared" si="185"/>
      </c>
      <c r="AN344" s="360">
        <f t="shared" si="169"/>
        <v>0</v>
      </c>
    </row>
    <row r="345" spans="1:40" ht="12.75">
      <c r="A345" s="359">
        <f t="shared" si="170"/>
        <v>51409</v>
      </c>
      <c r="B345" s="334">
        <f t="shared" si="155"/>
        <v>333</v>
      </c>
      <c r="C345" s="335">
        <f t="shared" si="156"/>
      </c>
      <c r="D345" s="335"/>
      <c r="E345" s="335">
        <f t="shared" si="171"/>
      </c>
      <c r="F345" s="335">
        <f t="shared" si="181"/>
      </c>
      <c r="G345" s="360">
        <f t="shared" si="157"/>
        <v>0</v>
      </c>
      <c r="H345" s="336">
        <f t="shared" si="172"/>
      </c>
      <c r="I345" s="333"/>
      <c r="J345" s="359">
        <f t="shared" si="173"/>
        <v>51409</v>
      </c>
      <c r="K345" s="334">
        <f t="shared" si="158"/>
        <v>333</v>
      </c>
      <c r="L345" s="335">
        <f t="shared" si="159"/>
      </c>
      <c r="M345" s="335"/>
      <c r="N345" s="335">
        <f t="shared" si="174"/>
      </c>
      <c r="O345" s="335">
        <f t="shared" si="182"/>
      </c>
      <c r="P345" s="360">
        <f t="shared" si="160"/>
        <v>0</v>
      </c>
      <c r="R345" s="359">
        <f t="shared" si="175"/>
        <v>51409</v>
      </c>
      <c r="S345" s="334">
        <f t="shared" si="161"/>
        <v>333</v>
      </c>
      <c r="T345" s="335">
        <f t="shared" si="162"/>
      </c>
      <c r="U345" s="335"/>
      <c r="V345" s="335">
        <f t="shared" si="176"/>
      </c>
      <c r="W345" s="335">
        <f t="shared" si="183"/>
      </c>
      <c r="X345" s="360">
        <f t="shared" si="163"/>
        <v>0</v>
      </c>
      <c r="Z345" s="359">
        <f t="shared" si="177"/>
        <v>51409</v>
      </c>
      <c r="AA345" s="334">
        <f t="shared" si="164"/>
        <v>333</v>
      </c>
      <c r="AB345" s="335">
        <f t="shared" si="165"/>
      </c>
      <c r="AC345" s="335"/>
      <c r="AD345" s="335">
        <f t="shared" si="178"/>
      </c>
      <c r="AE345" s="335">
        <f t="shared" si="184"/>
      </c>
      <c r="AF345" s="360">
        <f t="shared" si="166"/>
        <v>0</v>
      </c>
      <c r="AH345" s="359">
        <f t="shared" si="179"/>
        <v>51409</v>
      </c>
      <c r="AI345" s="334">
        <f t="shared" si="167"/>
        <v>333</v>
      </c>
      <c r="AJ345" s="335">
        <f t="shared" si="168"/>
      </c>
      <c r="AK345" s="335"/>
      <c r="AL345" s="335">
        <f t="shared" si="180"/>
      </c>
      <c r="AM345" s="335">
        <f t="shared" si="185"/>
      </c>
      <c r="AN345" s="360">
        <f t="shared" si="169"/>
        <v>0</v>
      </c>
    </row>
    <row r="346" spans="1:40" ht="12.75">
      <c r="A346" s="359">
        <f t="shared" si="170"/>
        <v>51440</v>
      </c>
      <c r="B346" s="334">
        <f t="shared" si="155"/>
        <v>334</v>
      </c>
      <c r="C346" s="335">
        <f t="shared" si="156"/>
      </c>
      <c r="D346" s="335"/>
      <c r="E346" s="335">
        <f t="shared" si="171"/>
      </c>
      <c r="F346" s="335">
        <f t="shared" si="181"/>
      </c>
      <c r="G346" s="360">
        <f t="shared" si="157"/>
        <v>0</v>
      </c>
      <c r="H346" s="336">
        <f t="shared" si="172"/>
      </c>
      <c r="I346" s="333"/>
      <c r="J346" s="359">
        <f t="shared" si="173"/>
        <v>51440</v>
      </c>
      <c r="K346" s="334">
        <f t="shared" si="158"/>
        <v>334</v>
      </c>
      <c r="L346" s="335">
        <f t="shared" si="159"/>
      </c>
      <c r="M346" s="335"/>
      <c r="N346" s="335">
        <f t="shared" si="174"/>
      </c>
      <c r="O346" s="335">
        <f t="shared" si="182"/>
      </c>
      <c r="P346" s="360">
        <f t="shared" si="160"/>
        <v>0</v>
      </c>
      <c r="R346" s="359">
        <f t="shared" si="175"/>
        <v>51440</v>
      </c>
      <c r="S346" s="334">
        <f t="shared" si="161"/>
        <v>334</v>
      </c>
      <c r="T346" s="335">
        <f t="shared" si="162"/>
      </c>
      <c r="U346" s="335"/>
      <c r="V346" s="335">
        <f t="shared" si="176"/>
      </c>
      <c r="W346" s="335">
        <f t="shared" si="183"/>
      </c>
      <c r="X346" s="360">
        <f t="shared" si="163"/>
        <v>0</v>
      </c>
      <c r="Z346" s="359">
        <f t="shared" si="177"/>
        <v>51440</v>
      </c>
      <c r="AA346" s="334">
        <f t="shared" si="164"/>
        <v>334</v>
      </c>
      <c r="AB346" s="335">
        <f t="shared" si="165"/>
      </c>
      <c r="AC346" s="335"/>
      <c r="AD346" s="335">
        <f t="shared" si="178"/>
      </c>
      <c r="AE346" s="335">
        <f t="shared" si="184"/>
      </c>
      <c r="AF346" s="360">
        <f t="shared" si="166"/>
        <v>0</v>
      </c>
      <c r="AH346" s="359">
        <f t="shared" si="179"/>
        <v>51440</v>
      </c>
      <c r="AI346" s="334">
        <f t="shared" si="167"/>
        <v>334</v>
      </c>
      <c r="AJ346" s="335">
        <f t="shared" si="168"/>
      </c>
      <c r="AK346" s="335"/>
      <c r="AL346" s="335">
        <f t="shared" si="180"/>
      </c>
      <c r="AM346" s="335">
        <f t="shared" si="185"/>
      </c>
      <c r="AN346" s="360">
        <f t="shared" si="169"/>
        <v>0</v>
      </c>
    </row>
    <row r="347" spans="1:40" ht="12.75">
      <c r="A347" s="359">
        <f t="shared" si="170"/>
        <v>51470</v>
      </c>
      <c r="B347" s="334">
        <f t="shared" si="155"/>
        <v>335</v>
      </c>
      <c r="C347" s="335">
        <f t="shared" si="156"/>
      </c>
      <c r="D347" s="335"/>
      <c r="E347" s="335">
        <f t="shared" si="171"/>
      </c>
      <c r="F347" s="335">
        <f t="shared" si="181"/>
      </c>
      <c r="G347" s="360">
        <f t="shared" si="157"/>
        <v>0</v>
      </c>
      <c r="H347" s="336">
        <f t="shared" si="172"/>
      </c>
      <c r="I347" s="333"/>
      <c r="J347" s="359">
        <f t="shared" si="173"/>
        <v>51470</v>
      </c>
      <c r="K347" s="334">
        <f t="shared" si="158"/>
        <v>335</v>
      </c>
      <c r="L347" s="335">
        <f t="shared" si="159"/>
      </c>
      <c r="M347" s="335"/>
      <c r="N347" s="335">
        <f t="shared" si="174"/>
      </c>
      <c r="O347" s="335">
        <f t="shared" si="182"/>
      </c>
      <c r="P347" s="360">
        <f t="shared" si="160"/>
        <v>0</v>
      </c>
      <c r="R347" s="359">
        <f t="shared" si="175"/>
        <v>51470</v>
      </c>
      <c r="S347" s="334">
        <f t="shared" si="161"/>
        <v>335</v>
      </c>
      <c r="T347" s="335">
        <f t="shared" si="162"/>
      </c>
      <c r="U347" s="335"/>
      <c r="V347" s="335">
        <f t="shared" si="176"/>
      </c>
      <c r="W347" s="335">
        <f t="shared" si="183"/>
      </c>
      <c r="X347" s="360">
        <f t="shared" si="163"/>
        <v>0</v>
      </c>
      <c r="Z347" s="359">
        <f t="shared" si="177"/>
        <v>51470</v>
      </c>
      <c r="AA347" s="334">
        <f t="shared" si="164"/>
        <v>335</v>
      </c>
      <c r="AB347" s="335">
        <f t="shared" si="165"/>
      </c>
      <c r="AC347" s="335"/>
      <c r="AD347" s="335">
        <f t="shared" si="178"/>
      </c>
      <c r="AE347" s="335">
        <f t="shared" si="184"/>
      </c>
      <c r="AF347" s="360">
        <f t="shared" si="166"/>
        <v>0</v>
      </c>
      <c r="AH347" s="359">
        <f t="shared" si="179"/>
        <v>51470</v>
      </c>
      <c r="AI347" s="334">
        <f t="shared" si="167"/>
        <v>335</v>
      </c>
      <c r="AJ347" s="335">
        <f t="shared" si="168"/>
      </c>
      <c r="AK347" s="335"/>
      <c r="AL347" s="335">
        <f t="shared" si="180"/>
      </c>
      <c r="AM347" s="335">
        <f t="shared" si="185"/>
      </c>
      <c r="AN347" s="360">
        <f t="shared" si="169"/>
        <v>0</v>
      </c>
    </row>
    <row r="348" spans="1:40" ht="12.75">
      <c r="A348" s="359">
        <f t="shared" si="170"/>
        <v>51501</v>
      </c>
      <c r="B348" s="334">
        <f t="shared" si="155"/>
        <v>336</v>
      </c>
      <c r="C348" s="335">
        <f t="shared" si="156"/>
      </c>
      <c r="D348" s="335"/>
      <c r="E348" s="335">
        <f t="shared" si="171"/>
      </c>
      <c r="F348" s="335">
        <f t="shared" si="181"/>
      </c>
      <c r="G348" s="360">
        <f t="shared" si="157"/>
        <v>0</v>
      </c>
      <c r="H348" s="336">
        <f t="shared" si="172"/>
      </c>
      <c r="I348" s="333"/>
      <c r="J348" s="359">
        <f t="shared" si="173"/>
        <v>51501</v>
      </c>
      <c r="K348" s="334">
        <f t="shared" si="158"/>
        <v>336</v>
      </c>
      <c r="L348" s="335">
        <f t="shared" si="159"/>
      </c>
      <c r="M348" s="335"/>
      <c r="N348" s="335">
        <f t="shared" si="174"/>
      </c>
      <c r="O348" s="335">
        <f t="shared" si="182"/>
      </c>
      <c r="P348" s="360">
        <f t="shared" si="160"/>
        <v>0</v>
      </c>
      <c r="R348" s="359">
        <f t="shared" si="175"/>
        <v>51501</v>
      </c>
      <c r="S348" s="334">
        <f t="shared" si="161"/>
        <v>336</v>
      </c>
      <c r="T348" s="335">
        <f t="shared" si="162"/>
      </c>
      <c r="U348" s="335"/>
      <c r="V348" s="335">
        <f t="shared" si="176"/>
      </c>
      <c r="W348" s="335">
        <f t="shared" si="183"/>
      </c>
      <c r="X348" s="360">
        <f t="shared" si="163"/>
        <v>0</v>
      </c>
      <c r="Z348" s="359">
        <f t="shared" si="177"/>
        <v>51501</v>
      </c>
      <c r="AA348" s="334">
        <f t="shared" si="164"/>
        <v>336</v>
      </c>
      <c r="AB348" s="335">
        <f t="shared" si="165"/>
      </c>
      <c r="AC348" s="335"/>
      <c r="AD348" s="335">
        <f t="shared" si="178"/>
      </c>
      <c r="AE348" s="335">
        <f t="shared" si="184"/>
      </c>
      <c r="AF348" s="360">
        <f t="shared" si="166"/>
        <v>0</v>
      </c>
      <c r="AH348" s="359">
        <f t="shared" si="179"/>
        <v>51501</v>
      </c>
      <c r="AI348" s="334">
        <f t="shared" si="167"/>
        <v>336</v>
      </c>
      <c r="AJ348" s="335">
        <f t="shared" si="168"/>
      </c>
      <c r="AK348" s="335"/>
      <c r="AL348" s="335">
        <f t="shared" si="180"/>
      </c>
      <c r="AM348" s="335">
        <f t="shared" si="185"/>
      </c>
      <c r="AN348" s="360">
        <f t="shared" si="169"/>
        <v>0</v>
      </c>
    </row>
    <row r="349" spans="1:40" ht="12.75">
      <c r="A349" s="359">
        <f t="shared" si="170"/>
        <v>51532</v>
      </c>
      <c r="B349" s="334">
        <f t="shared" si="155"/>
        <v>337</v>
      </c>
      <c r="C349" s="335">
        <f t="shared" si="156"/>
      </c>
      <c r="D349" s="335"/>
      <c r="E349" s="335">
        <f t="shared" si="171"/>
      </c>
      <c r="F349" s="335">
        <f t="shared" si="181"/>
      </c>
      <c r="G349" s="360">
        <f t="shared" si="157"/>
        <v>0</v>
      </c>
      <c r="H349" s="336">
        <f t="shared" si="172"/>
      </c>
      <c r="I349" s="333"/>
      <c r="J349" s="359">
        <f t="shared" si="173"/>
        <v>51532</v>
      </c>
      <c r="K349" s="334">
        <f t="shared" si="158"/>
        <v>337</v>
      </c>
      <c r="L349" s="335">
        <f t="shared" si="159"/>
      </c>
      <c r="M349" s="335"/>
      <c r="N349" s="335">
        <f t="shared" si="174"/>
      </c>
      <c r="O349" s="335">
        <f t="shared" si="182"/>
      </c>
      <c r="P349" s="360">
        <f t="shared" si="160"/>
        <v>0</v>
      </c>
      <c r="R349" s="359">
        <f t="shared" si="175"/>
        <v>51532</v>
      </c>
      <c r="S349" s="334">
        <f t="shared" si="161"/>
        <v>337</v>
      </c>
      <c r="T349" s="335">
        <f t="shared" si="162"/>
      </c>
      <c r="U349" s="335"/>
      <c r="V349" s="335">
        <f t="shared" si="176"/>
      </c>
      <c r="W349" s="335">
        <f t="shared" si="183"/>
      </c>
      <c r="X349" s="360">
        <f t="shared" si="163"/>
        <v>0</v>
      </c>
      <c r="Z349" s="359">
        <f t="shared" si="177"/>
        <v>51532</v>
      </c>
      <c r="AA349" s="334">
        <f t="shared" si="164"/>
        <v>337</v>
      </c>
      <c r="AB349" s="335">
        <f t="shared" si="165"/>
      </c>
      <c r="AC349" s="335"/>
      <c r="AD349" s="335">
        <f t="shared" si="178"/>
      </c>
      <c r="AE349" s="335">
        <f t="shared" si="184"/>
      </c>
      <c r="AF349" s="360">
        <f t="shared" si="166"/>
        <v>0</v>
      </c>
      <c r="AH349" s="359">
        <f t="shared" si="179"/>
        <v>51532</v>
      </c>
      <c r="AI349" s="334">
        <f t="shared" si="167"/>
        <v>337</v>
      </c>
      <c r="AJ349" s="335">
        <f t="shared" si="168"/>
      </c>
      <c r="AK349" s="335"/>
      <c r="AL349" s="335">
        <f t="shared" si="180"/>
      </c>
      <c r="AM349" s="335">
        <f t="shared" si="185"/>
      </c>
      <c r="AN349" s="360">
        <f t="shared" si="169"/>
        <v>0</v>
      </c>
    </row>
    <row r="350" spans="1:40" ht="12.75">
      <c r="A350" s="359">
        <f t="shared" si="170"/>
        <v>51560</v>
      </c>
      <c r="B350" s="334">
        <f t="shared" si="155"/>
        <v>338</v>
      </c>
      <c r="C350" s="335">
        <f t="shared" si="156"/>
      </c>
      <c r="D350" s="335"/>
      <c r="E350" s="335">
        <f t="shared" si="171"/>
      </c>
      <c r="F350" s="335">
        <f t="shared" si="181"/>
      </c>
      <c r="G350" s="360">
        <f t="shared" si="157"/>
        <v>0</v>
      </c>
      <c r="H350" s="336">
        <f t="shared" si="172"/>
      </c>
      <c r="I350" s="333"/>
      <c r="J350" s="359">
        <f t="shared" si="173"/>
        <v>51560</v>
      </c>
      <c r="K350" s="334">
        <f t="shared" si="158"/>
        <v>338</v>
      </c>
      <c r="L350" s="335">
        <f t="shared" si="159"/>
      </c>
      <c r="M350" s="335"/>
      <c r="N350" s="335">
        <f t="shared" si="174"/>
      </c>
      <c r="O350" s="335">
        <f t="shared" si="182"/>
      </c>
      <c r="P350" s="360">
        <f t="shared" si="160"/>
        <v>0</v>
      </c>
      <c r="R350" s="359">
        <f t="shared" si="175"/>
        <v>51560</v>
      </c>
      <c r="S350" s="334">
        <f t="shared" si="161"/>
        <v>338</v>
      </c>
      <c r="T350" s="335">
        <f t="shared" si="162"/>
      </c>
      <c r="U350" s="335"/>
      <c r="V350" s="335">
        <f t="shared" si="176"/>
      </c>
      <c r="W350" s="335">
        <f t="shared" si="183"/>
      </c>
      <c r="X350" s="360">
        <f t="shared" si="163"/>
        <v>0</v>
      </c>
      <c r="Z350" s="359">
        <f t="shared" si="177"/>
        <v>51560</v>
      </c>
      <c r="AA350" s="334">
        <f t="shared" si="164"/>
        <v>338</v>
      </c>
      <c r="AB350" s="335">
        <f t="shared" si="165"/>
      </c>
      <c r="AC350" s="335"/>
      <c r="AD350" s="335">
        <f t="shared" si="178"/>
      </c>
      <c r="AE350" s="335">
        <f t="shared" si="184"/>
      </c>
      <c r="AF350" s="360">
        <f t="shared" si="166"/>
        <v>0</v>
      </c>
      <c r="AH350" s="359">
        <f t="shared" si="179"/>
        <v>51560</v>
      </c>
      <c r="AI350" s="334">
        <f t="shared" si="167"/>
        <v>338</v>
      </c>
      <c r="AJ350" s="335">
        <f t="shared" si="168"/>
      </c>
      <c r="AK350" s="335"/>
      <c r="AL350" s="335">
        <f t="shared" si="180"/>
      </c>
      <c r="AM350" s="335">
        <f t="shared" si="185"/>
      </c>
      <c r="AN350" s="360">
        <f t="shared" si="169"/>
        <v>0</v>
      </c>
    </row>
    <row r="351" spans="1:40" ht="12.75">
      <c r="A351" s="359">
        <f t="shared" si="170"/>
        <v>51591</v>
      </c>
      <c r="B351" s="334">
        <f t="shared" si="155"/>
        <v>339</v>
      </c>
      <c r="C351" s="335">
        <f t="shared" si="156"/>
      </c>
      <c r="D351" s="335"/>
      <c r="E351" s="335">
        <f t="shared" si="171"/>
      </c>
      <c r="F351" s="335">
        <f t="shared" si="181"/>
      </c>
      <c r="G351" s="360">
        <f t="shared" si="157"/>
        <v>0</v>
      </c>
      <c r="H351" s="336">
        <f t="shared" si="172"/>
      </c>
      <c r="I351" s="333"/>
      <c r="J351" s="359">
        <f t="shared" si="173"/>
        <v>51591</v>
      </c>
      <c r="K351" s="334">
        <f t="shared" si="158"/>
        <v>339</v>
      </c>
      <c r="L351" s="335">
        <f t="shared" si="159"/>
      </c>
      <c r="M351" s="335"/>
      <c r="N351" s="335">
        <f t="shared" si="174"/>
      </c>
      <c r="O351" s="335">
        <f t="shared" si="182"/>
      </c>
      <c r="P351" s="360">
        <f t="shared" si="160"/>
        <v>0</v>
      </c>
      <c r="R351" s="359">
        <f t="shared" si="175"/>
        <v>51591</v>
      </c>
      <c r="S351" s="334">
        <f t="shared" si="161"/>
        <v>339</v>
      </c>
      <c r="T351" s="335">
        <f t="shared" si="162"/>
      </c>
      <c r="U351" s="335"/>
      <c r="V351" s="335">
        <f t="shared" si="176"/>
      </c>
      <c r="W351" s="335">
        <f t="shared" si="183"/>
      </c>
      <c r="X351" s="360">
        <f t="shared" si="163"/>
        <v>0</v>
      </c>
      <c r="Z351" s="359">
        <f t="shared" si="177"/>
        <v>51591</v>
      </c>
      <c r="AA351" s="334">
        <f t="shared" si="164"/>
        <v>339</v>
      </c>
      <c r="AB351" s="335">
        <f t="shared" si="165"/>
      </c>
      <c r="AC351" s="335"/>
      <c r="AD351" s="335">
        <f t="shared" si="178"/>
      </c>
      <c r="AE351" s="335">
        <f t="shared" si="184"/>
      </c>
      <c r="AF351" s="360">
        <f t="shared" si="166"/>
        <v>0</v>
      </c>
      <c r="AH351" s="359">
        <f t="shared" si="179"/>
        <v>51591</v>
      </c>
      <c r="AI351" s="334">
        <f t="shared" si="167"/>
        <v>339</v>
      </c>
      <c r="AJ351" s="335">
        <f t="shared" si="168"/>
      </c>
      <c r="AK351" s="335"/>
      <c r="AL351" s="335">
        <f t="shared" si="180"/>
      </c>
      <c r="AM351" s="335">
        <f t="shared" si="185"/>
      </c>
      <c r="AN351" s="360">
        <f t="shared" si="169"/>
        <v>0</v>
      </c>
    </row>
    <row r="352" spans="1:40" ht="12.75">
      <c r="A352" s="359">
        <f t="shared" si="170"/>
        <v>51621</v>
      </c>
      <c r="B352" s="334">
        <f t="shared" si="155"/>
        <v>340</v>
      </c>
      <c r="C352" s="335">
        <f t="shared" si="156"/>
      </c>
      <c r="D352" s="335"/>
      <c r="E352" s="335">
        <f t="shared" si="171"/>
      </c>
      <c r="F352" s="335">
        <f t="shared" si="181"/>
      </c>
      <c r="G352" s="360">
        <f t="shared" si="157"/>
        <v>0</v>
      </c>
      <c r="H352" s="336">
        <f t="shared" si="172"/>
      </c>
      <c r="I352" s="333"/>
      <c r="J352" s="359">
        <f t="shared" si="173"/>
        <v>51621</v>
      </c>
      <c r="K352" s="334">
        <f t="shared" si="158"/>
        <v>340</v>
      </c>
      <c r="L352" s="335">
        <f t="shared" si="159"/>
      </c>
      <c r="M352" s="335"/>
      <c r="N352" s="335">
        <f t="shared" si="174"/>
      </c>
      <c r="O352" s="335">
        <f t="shared" si="182"/>
      </c>
      <c r="P352" s="360">
        <f t="shared" si="160"/>
        <v>0</v>
      </c>
      <c r="R352" s="359">
        <f t="shared" si="175"/>
        <v>51621</v>
      </c>
      <c r="S352" s="334">
        <f t="shared" si="161"/>
        <v>340</v>
      </c>
      <c r="T352" s="335">
        <f t="shared" si="162"/>
      </c>
      <c r="U352" s="335"/>
      <c r="V352" s="335">
        <f t="shared" si="176"/>
      </c>
      <c r="W352" s="335">
        <f t="shared" si="183"/>
      </c>
      <c r="X352" s="360">
        <f t="shared" si="163"/>
        <v>0</v>
      </c>
      <c r="Z352" s="359">
        <f t="shared" si="177"/>
        <v>51621</v>
      </c>
      <c r="AA352" s="334">
        <f t="shared" si="164"/>
        <v>340</v>
      </c>
      <c r="AB352" s="335">
        <f t="shared" si="165"/>
      </c>
      <c r="AC352" s="335"/>
      <c r="AD352" s="335">
        <f t="shared" si="178"/>
      </c>
      <c r="AE352" s="335">
        <f t="shared" si="184"/>
      </c>
      <c r="AF352" s="360">
        <f t="shared" si="166"/>
        <v>0</v>
      </c>
      <c r="AH352" s="359">
        <f t="shared" si="179"/>
        <v>51621</v>
      </c>
      <c r="AI352" s="334">
        <f t="shared" si="167"/>
        <v>340</v>
      </c>
      <c r="AJ352" s="335">
        <f t="shared" si="168"/>
      </c>
      <c r="AK352" s="335"/>
      <c r="AL352" s="335">
        <f t="shared" si="180"/>
      </c>
      <c r="AM352" s="335">
        <f t="shared" si="185"/>
      </c>
      <c r="AN352" s="360">
        <f t="shared" si="169"/>
        <v>0</v>
      </c>
    </row>
    <row r="353" spans="1:40" ht="12.75">
      <c r="A353" s="359">
        <f t="shared" si="170"/>
        <v>51652</v>
      </c>
      <c r="B353" s="334">
        <f t="shared" si="155"/>
        <v>341</v>
      </c>
      <c r="C353" s="335">
        <f t="shared" si="156"/>
      </c>
      <c r="D353" s="335"/>
      <c r="E353" s="335">
        <f t="shared" si="171"/>
      </c>
      <c r="F353" s="335">
        <f t="shared" si="181"/>
      </c>
      <c r="G353" s="360">
        <f t="shared" si="157"/>
        <v>0</v>
      </c>
      <c r="H353" s="336">
        <f t="shared" si="172"/>
      </c>
      <c r="I353" s="333"/>
      <c r="J353" s="359">
        <f t="shared" si="173"/>
        <v>51652</v>
      </c>
      <c r="K353" s="334">
        <f t="shared" si="158"/>
        <v>341</v>
      </c>
      <c r="L353" s="335">
        <f t="shared" si="159"/>
      </c>
      <c r="M353" s="335"/>
      <c r="N353" s="335">
        <f t="shared" si="174"/>
      </c>
      <c r="O353" s="335">
        <f t="shared" si="182"/>
      </c>
      <c r="P353" s="360">
        <f t="shared" si="160"/>
        <v>0</v>
      </c>
      <c r="R353" s="359">
        <f t="shared" si="175"/>
        <v>51652</v>
      </c>
      <c r="S353" s="334">
        <f t="shared" si="161"/>
        <v>341</v>
      </c>
      <c r="T353" s="335">
        <f t="shared" si="162"/>
      </c>
      <c r="U353" s="335"/>
      <c r="V353" s="335">
        <f t="shared" si="176"/>
      </c>
      <c r="W353" s="335">
        <f t="shared" si="183"/>
      </c>
      <c r="X353" s="360">
        <f t="shared" si="163"/>
        <v>0</v>
      </c>
      <c r="Z353" s="359">
        <f t="shared" si="177"/>
        <v>51652</v>
      </c>
      <c r="AA353" s="334">
        <f t="shared" si="164"/>
        <v>341</v>
      </c>
      <c r="AB353" s="335">
        <f t="shared" si="165"/>
      </c>
      <c r="AC353" s="335"/>
      <c r="AD353" s="335">
        <f t="shared" si="178"/>
      </c>
      <c r="AE353" s="335">
        <f t="shared" si="184"/>
      </c>
      <c r="AF353" s="360">
        <f t="shared" si="166"/>
        <v>0</v>
      </c>
      <c r="AH353" s="359">
        <f t="shared" si="179"/>
        <v>51652</v>
      </c>
      <c r="AI353" s="334">
        <f t="shared" si="167"/>
        <v>341</v>
      </c>
      <c r="AJ353" s="335">
        <f t="shared" si="168"/>
      </c>
      <c r="AK353" s="335"/>
      <c r="AL353" s="335">
        <f t="shared" si="180"/>
      </c>
      <c r="AM353" s="335">
        <f t="shared" si="185"/>
      </c>
      <c r="AN353" s="360">
        <f t="shared" si="169"/>
        <v>0</v>
      </c>
    </row>
    <row r="354" spans="1:40" ht="12.75">
      <c r="A354" s="359">
        <f t="shared" si="170"/>
        <v>51682</v>
      </c>
      <c r="B354" s="334">
        <f t="shared" si="155"/>
        <v>342</v>
      </c>
      <c r="C354" s="335">
        <f t="shared" si="156"/>
      </c>
      <c r="D354" s="335"/>
      <c r="E354" s="335">
        <f t="shared" si="171"/>
      </c>
      <c r="F354" s="335">
        <f t="shared" si="181"/>
      </c>
      <c r="G354" s="360">
        <f t="shared" si="157"/>
        <v>0</v>
      </c>
      <c r="H354" s="336">
        <f t="shared" si="172"/>
      </c>
      <c r="I354" s="333"/>
      <c r="J354" s="359">
        <f t="shared" si="173"/>
        <v>51682</v>
      </c>
      <c r="K354" s="334">
        <f t="shared" si="158"/>
        <v>342</v>
      </c>
      <c r="L354" s="335">
        <f t="shared" si="159"/>
      </c>
      <c r="M354" s="335"/>
      <c r="N354" s="335">
        <f t="shared" si="174"/>
      </c>
      <c r="O354" s="335">
        <f t="shared" si="182"/>
      </c>
      <c r="P354" s="360">
        <f t="shared" si="160"/>
        <v>0</v>
      </c>
      <c r="R354" s="359">
        <f t="shared" si="175"/>
        <v>51682</v>
      </c>
      <c r="S354" s="334">
        <f t="shared" si="161"/>
        <v>342</v>
      </c>
      <c r="T354" s="335">
        <f t="shared" si="162"/>
      </c>
      <c r="U354" s="335"/>
      <c r="V354" s="335">
        <f t="shared" si="176"/>
      </c>
      <c r="W354" s="335">
        <f t="shared" si="183"/>
      </c>
      <c r="X354" s="360">
        <f t="shared" si="163"/>
        <v>0</v>
      </c>
      <c r="Z354" s="359">
        <f t="shared" si="177"/>
        <v>51682</v>
      </c>
      <c r="AA354" s="334">
        <f t="shared" si="164"/>
        <v>342</v>
      </c>
      <c r="AB354" s="335">
        <f t="shared" si="165"/>
      </c>
      <c r="AC354" s="335"/>
      <c r="AD354" s="335">
        <f t="shared" si="178"/>
      </c>
      <c r="AE354" s="335">
        <f t="shared" si="184"/>
      </c>
      <c r="AF354" s="360">
        <f t="shared" si="166"/>
        <v>0</v>
      </c>
      <c r="AH354" s="359">
        <f t="shared" si="179"/>
        <v>51682</v>
      </c>
      <c r="AI354" s="334">
        <f t="shared" si="167"/>
        <v>342</v>
      </c>
      <c r="AJ354" s="335">
        <f t="shared" si="168"/>
      </c>
      <c r="AK354" s="335"/>
      <c r="AL354" s="335">
        <f t="shared" si="180"/>
      </c>
      <c r="AM354" s="335">
        <f t="shared" si="185"/>
      </c>
      <c r="AN354" s="360">
        <f t="shared" si="169"/>
        <v>0</v>
      </c>
    </row>
    <row r="355" spans="1:40" ht="12.75">
      <c r="A355" s="359">
        <f t="shared" si="170"/>
        <v>51713</v>
      </c>
      <c r="B355" s="334">
        <f t="shared" si="155"/>
        <v>343</v>
      </c>
      <c r="C355" s="335">
        <f t="shared" si="156"/>
      </c>
      <c r="D355" s="335"/>
      <c r="E355" s="335">
        <f t="shared" si="171"/>
      </c>
      <c r="F355" s="335">
        <f t="shared" si="181"/>
      </c>
      <c r="G355" s="360">
        <f t="shared" si="157"/>
        <v>0</v>
      </c>
      <c r="H355" s="336">
        <f t="shared" si="172"/>
      </c>
      <c r="I355" s="333"/>
      <c r="J355" s="359">
        <f t="shared" si="173"/>
        <v>51713</v>
      </c>
      <c r="K355" s="334">
        <f t="shared" si="158"/>
        <v>343</v>
      </c>
      <c r="L355" s="335">
        <f t="shared" si="159"/>
      </c>
      <c r="M355" s="335"/>
      <c r="N355" s="335">
        <f t="shared" si="174"/>
      </c>
      <c r="O355" s="335">
        <f t="shared" si="182"/>
      </c>
      <c r="P355" s="360">
        <f t="shared" si="160"/>
        <v>0</v>
      </c>
      <c r="R355" s="359">
        <f t="shared" si="175"/>
        <v>51713</v>
      </c>
      <c r="S355" s="334">
        <f t="shared" si="161"/>
        <v>343</v>
      </c>
      <c r="T355" s="335">
        <f t="shared" si="162"/>
      </c>
      <c r="U355" s="335"/>
      <c r="V355" s="335">
        <f t="shared" si="176"/>
      </c>
      <c r="W355" s="335">
        <f t="shared" si="183"/>
      </c>
      <c r="X355" s="360">
        <f t="shared" si="163"/>
        <v>0</v>
      </c>
      <c r="Z355" s="359">
        <f t="shared" si="177"/>
        <v>51713</v>
      </c>
      <c r="AA355" s="334">
        <f t="shared" si="164"/>
        <v>343</v>
      </c>
      <c r="AB355" s="335">
        <f t="shared" si="165"/>
      </c>
      <c r="AC355" s="335"/>
      <c r="AD355" s="335">
        <f t="shared" si="178"/>
      </c>
      <c r="AE355" s="335">
        <f t="shared" si="184"/>
      </c>
      <c r="AF355" s="360">
        <f t="shared" si="166"/>
        <v>0</v>
      </c>
      <c r="AH355" s="359">
        <f t="shared" si="179"/>
        <v>51713</v>
      </c>
      <c r="AI355" s="334">
        <f t="shared" si="167"/>
        <v>343</v>
      </c>
      <c r="AJ355" s="335">
        <f t="shared" si="168"/>
      </c>
      <c r="AK355" s="335"/>
      <c r="AL355" s="335">
        <f t="shared" si="180"/>
      </c>
      <c r="AM355" s="335">
        <f t="shared" si="185"/>
      </c>
      <c r="AN355" s="360">
        <f t="shared" si="169"/>
        <v>0</v>
      </c>
    </row>
    <row r="356" spans="1:40" ht="12.75">
      <c r="A356" s="359">
        <f t="shared" si="170"/>
        <v>51744</v>
      </c>
      <c r="B356" s="334">
        <f t="shared" si="155"/>
        <v>344</v>
      </c>
      <c r="C356" s="335">
        <f t="shared" si="156"/>
      </c>
      <c r="D356" s="335"/>
      <c r="E356" s="335">
        <f t="shared" si="171"/>
      </c>
      <c r="F356" s="335">
        <f t="shared" si="181"/>
      </c>
      <c r="G356" s="360">
        <f t="shared" si="157"/>
        <v>0</v>
      </c>
      <c r="H356" s="336">
        <f t="shared" si="172"/>
      </c>
      <c r="I356" s="333"/>
      <c r="J356" s="359">
        <f t="shared" si="173"/>
        <v>51744</v>
      </c>
      <c r="K356" s="334">
        <f t="shared" si="158"/>
        <v>344</v>
      </c>
      <c r="L356" s="335">
        <f t="shared" si="159"/>
      </c>
      <c r="M356" s="335"/>
      <c r="N356" s="335">
        <f t="shared" si="174"/>
      </c>
      <c r="O356" s="335">
        <f t="shared" si="182"/>
      </c>
      <c r="P356" s="360">
        <f t="shared" si="160"/>
        <v>0</v>
      </c>
      <c r="R356" s="359">
        <f t="shared" si="175"/>
        <v>51744</v>
      </c>
      <c r="S356" s="334">
        <f t="shared" si="161"/>
        <v>344</v>
      </c>
      <c r="T356" s="335">
        <f t="shared" si="162"/>
      </c>
      <c r="U356" s="335"/>
      <c r="V356" s="335">
        <f t="shared" si="176"/>
      </c>
      <c r="W356" s="335">
        <f t="shared" si="183"/>
      </c>
      <c r="X356" s="360">
        <f t="shared" si="163"/>
        <v>0</v>
      </c>
      <c r="Z356" s="359">
        <f t="shared" si="177"/>
        <v>51744</v>
      </c>
      <c r="AA356" s="334">
        <f t="shared" si="164"/>
        <v>344</v>
      </c>
      <c r="AB356" s="335">
        <f t="shared" si="165"/>
      </c>
      <c r="AC356" s="335"/>
      <c r="AD356" s="335">
        <f t="shared" si="178"/>
      </c>
      <c r="AE356" s="335">
        <f t="shared" si="184"/>
      </c>
      <c r="AF356" s="360">
        <f t="shared" si="166"/>
        <v>0</v>
      </c>
      <c r="AH356" s="359">
        <f t="shared" si="179"/>
        <v>51744</v>
      </c>
      <c r="AI356" s="334">
        <f t="shared" si="167"/>
        <v>344</v>
      </c>
      <c r="AJ356" s="335">
        <f t="shared" si="168"/>
      </c>
      <c r="AK356" s="335"/>
      <c r="AL356" s="335">
        <f t="shared" si="180"/>
      </c>
      <c r="AM356" s="335">
        <f t="shared" si="185"/>
      </c>
      <c r="AN356" s="360">
        <f t="shared" si="169"/>
        <v>0</v>
      </c>
    </row>
    <row r="357" spans="1:40" ht="12.75">
      <c r="A357" s="359">
        <f t="shared" si="170"/>
        <v>51774</v>
      </c>
      <c r="B357" s="334">
        <f t="shared" si="155"/>
        <v>345</v>
      </c>
      <c r="C357" s="335">
        <f t="shared" si="156"/>
      </c>
      <c r="D357" s="335"/>
      <c r="E357" s="335">
        <f t="shared" si="171"/>
      </c>
      <c r="F357" s="335">
        <f t="shared" si="181"/>
      </c>
      <c r="G357" s="360">
        <f t="shared" si="157"/>
        <v>0</v>
      </c>
      <c r="H357" s="336">
        <f t="shared" si="172"/>
      </c>
      <c r="I357" s="333"/>
      <c r="J357" s="359">
        <f t="shared" si="173"/>
        <v>51774</v>
      </c>
      <c r="K357" s="334">
        <f t="shared" si="158"/>
        <v>345</v>
      </c>
      <c r="L357" s="335">
        <f t="shared" si="159"/>
      </c>
      <c r="M357" s="335"/>
      <c r="N357" s="335">
        <f t="shared" si="174"/>
      </c>
      <c r="O357" s="335">
        <f t="shared" si="182"/>
      </c>
      <c r="P357" s="360">
        <f t="shared" si="160"/>
        <v>0</v>
      </c>
      <c r="R357" s="359">
        <f t="shared" si="175"/>
        <v>51774</v>
      </c>
      <c r="S357" s="334">
        <f t="shared" si="161"/>
        <v>345</v>
      </c>
      <c r="T357" s="335">
        <f t="shared" si="162"/>
      </c>
      <c r="U357" s="335"/>
      <c r="V357" s="335">
        <f t="shared" si="176"/>
      </c>
      <c r="W357" s="335">
        <f t="shared" si="183"/>
      </c>
      <c r="X357" s="360">
        <f t="shared" si="163"/>
        <v>0</v>
      </c>
      <c r="Z357" s="359">
        <f t="shared" si="177"/>
        <v>51774</v>
      </c>
      <c r="AA357" s="334">
        <f t="shared" si="164"/>
        <v>345</v>
      </c>
      <c r="AB357" s="335">
        <f t="shared" si="165"/>
      </c>
      <c r="AC357" s="335"/>
      <c r="AD357" s="335">
        <f t="shared" si="178"/>
      </c>
      <c r="AE357" s="335">
        <f t="shared" si="184"/>
      </c>
      <c r="AF357" s="360">
        <f t="shared" si="166"/>
        <v>0</v>
      </c>
      <c r="AH357" s="359">
        <f t="shared" si="179"/>
        <v>51774</v>
      </c>
      <c r="AI357" s="334">
        <f t="shared" si="167"/>
        <v>345</v>
      </c>
      <c r="AJ357" s="335">
        <f t="shared" si="168"/>
      </c>
      <c r="AK357" s="335"/>
      <c r="AL357" s="335">
        <f t="shared" si="180"/>
      </c>
      <c r="AM357" s="335">
        <f t="shared" si="185"/>
      </c>
      <c r="AN357" s="360">
        <f t="shared" si="169"/>
        <v>0</v>
      </c>
    </row>
    <row r="358" spans="1:40" ht="12.75">
      <c r="A358" s="359">
        <f t="shared" si="170"/>
        <v>51805</v>
      </c>
      <c r="B358" s="334">
        <f t="shared" si="155"/>
        <v>346</v>
      </c>
      <c r="C358" s="335">
        <f t="shared" si="156"/>
      </c>
      <c r="D358" s="335"/>
      <c r="E358" s="335">
        <f t="shared" si="171"/>
      </c>
      <c r="F358" s="335">
        <f t="shared" si="181"/>
      </c>
      <c r="G358" s="360">
        <f t="shared" si="157"/>
        <v>0</v>
      </c>
      <c r="H358" s="336">
        <f t="shared" si="172"/>
      </c>
      <c r="I358" s="333"/>
      <c r="J358" s="359">
        <f t="shared" si="173"/>
        <v>51805</v>
      </c>
      <c r="K358" s="334">
        <f t="shared" si="158"/>
        <v>346</v>
      </c>
      <c r="L358" s="335">
        <f t="shared" si="159"/>
      </c>
      <c r="M358" s="335"/>
      <c r="N358" s="335">
        <f t="shared" si="174"/>
      </c>
      <c r="O358" s="335">
        <f t="shared" si="182"/>
      </c>
      <c r="P358" s="360">
        <f t="shared" si="160"/>
        <v>0</v>
      </c>
      <c r="R358" s="359">
        <f t="shared" si="175"/>
        <v>51805</v>
      </c>
      <c r="S358" s="334">
        <f t="shared" si="161"/>
        <v>346</v>
      </c>
      <c r="T358" s="335">
        <f t="shared" si="162"/>
      </c>
      <c r="U358" s="335"/>
      <c r="V358" s="335">
        <f t="shared" si="176"/>
      </c>
      <c r="W358" s="335">
        <f t="shared" si="183"/>
      </c>
      <c r="X358" s="360">
        <f t="shared" si="163"/>
        <v>0</v>
      </c>
      <c r="Z358" s="359">
        <f t="shared" si="177"/>
        <v>51805</v>
      </c>
      <c r="AA358" s="334">
        <f t="shared" si="164"/>
        <v>346</v>
      </c>
      <c r="AB358" s="335">
        <f t="shared" si="165"/>
      </c>
      <c r="AC358" s="335"/>
      <c r="AD358" s="335">
        <f t="shared" si="178"/>
      </c>
      <c r="AE358" s="335">
        <f t="shared" si="184"/>
      </c>
      <c r="AF358" s="360">
        <f t="shared" si="166"/>
        <v>0</v>
      </c>
      <c r="AH358" s="359">
        <f t="shared" si="179"/>
        <v>51805</v>
      </c>
      <c r="AI358" s="334">
        <f t="shared" si="167"/>
        <v>346</v>
      </c>
      <c r="AJ358" s="335">
        <f t="shared" si="168"/>
      </c>
      <c r="AK358" s="335"/>
      <c r="AL358" s="335">
        <f t="shared" si="180"/>
      </c>
      <c r="AM358" s="335">
        <f t="shared" si="185"/>
      </c>
      <c r="AN358" s="360">
        <f t="shared" si="169"/>
        <v>0</v>
      </c>
    </row>
    <row r="359" spans="1:40" ht="12.75">
      <c r="A359" s="359">
        <f t="shared" si="170"/>
        <v>51835</v>
      </c>
      <c r="B359" s="334">
        <f t="shared" si="155"/>
        <v>347</v>
      </c>
      <c r="C359" s="335">
        <f t="shared" si="156"/>
      </c>
      <c r="D359" s="335"/>
      <c r="E359" s="335">
        <f t="shared" si="171"/>
      </c>
      <c r="F359" s="335">
        <f t="shared" si="181"/>
      </c>
      <c r="G359" s="360">
        <f t="shared" si="157"/>
        <v>0</v>
      </c>
      <c r="H359" s="336">
        <f t="shared" si="172"/>
      </c>
      <c r="I359" s="333"/>
      <c r="J359" s="359">
        <f t="shared" si="173"/>
        <v>51835</v>
      </c>
      <c r="K359" s="334">
        <f t="shared" si="158"/>
        <v>347</v>
      </c>
      <c r="L359" s="335">
        <f t="shared" si="159"/>
      </c>
      <c r="M359" s="335"/>
      <c r="N359" s="335">
        <f t="shared" si="174"/>
      </c>
      <c r="O359" s="335">
        <f t="shared" si="182"/>
      </c>
      <c r="P359" s="360">
        <f t="shared" si="160"/>
        <v>0</v>
      </c>
      <c r="R359" s="359">
        <f t="shared" si="175"/>
        <v>51835</v>
      </c>
      <c r="S359" s="334">
        <f t="shared" si="161"/>
        <v>347</v>
      </c>
      <c r="T359" s="335">
        <f t="shared" si="162"/>
      </c>
      <c r="U359" s="335"/>
      <c r="V359" s="335">
        <f t="shared" si="176"/>
      </c>
      <c r="W359" s="335">
        <f t="shared" si="183"/>
      </c>
      <c r="X359" s="360">
        <f t="shared" si="163"/>
        <v>0</v>
      </c>
      <c r="Z359" s="359">
        <f t="shared" si="177"/>
        <v>51835</v>
      </c>
      <c r="AA359" s="334">
        <f t="shared" si="164"/>
        <v>347</v>
      </c>
      <c r="AB359" s="335">
        <f t="shared" si="165"/>
      </c>
      <c r="AC359" s="335"/>
      <c r="AD359" s="335">
        <f t="shared" si="178"/>
      </c>
      <c r="AE359" s="335">
        <f t="shared" si="184"/>
      </c>
      <c r="AF359" s="360">
        <f t="shared" si="166"/>
        <v>0</v>
      </c>
      <c r="AH359" s="359">
        <f t="shared" si="179"/>
        <v>51835</v>
      </c>
      <c r="AI359" s="334">
        <f t="shared" si="167"/>
        <v>347</v>
      </c>
      <c r="AJ359" s="335">
        <f t="shared" si="168"/>
      </c>
      <c r="AK359" s="335"/>
      <c r="AL359" s="335">
        <f t="shared" si="180"/>
      </c>
      <c r="AM359" s="335">
        <f t="shared" si="185"/>
      </c>
      <c r="AN359" s="360">
        <f t="shared" si="169"/>
        <v>0</v>
      </c>
    </row>
    <row r="360" spans="1:40" ht="12.75">
      <c r="A360" s="359">
        <f t="shared" si="170"/>
        <v>51866</v>
      </c>
      <c r="B360" s="334">
        <f t="shared" si="155"/>
        <v>348</v>
      </c>
      <c r="C360" s="335">
        <f t="shared" si="156"/>
      </c>
      <c r="D360" s="335"/>
      <c r="E360" s="335">
        <f t="shared" si="171"/>
      </c>
      <c r="F360" s="335">
        <f t="shared" si="181"/>
      </c>
      <c r="G360" s="360">
        <f t="shared" si="157"/>
        <v>0</v>
      </c>
      <c r="H360" s="336">
        <f t="shared" si="172"/>
      </c>
      <c r="I360" s="333"/>
      <c r="J360" s="359">
        <f t="shared" si="173"/>
        <v>51866</v>
      </c>
      <c r="K360" s="334">
        <f t="shared" si="158"/>
        <v>348</v>
      </c>
      <c r="L360" s="335">
        <f t="shared" si="159"/>
      </c>
      <c r="M360" s="335"/>
      <c r="N360" s="335">
        <f t="shared" si="174"/>
      </c>
      <c r="O360" s="335">
        <f t="shared" si="182"/>
      </c>
      <c r="P360" s="360">
        <f t="shared" si="160"/>
        <v>0</v>
      </c>
      <c r="R360" s="359">
        <f t="shared" si="175"/>
        <v>51866</v>
      </c>
      <c r="S360" s="334">
        <f t="shared" si="161"/>
        <v>348</v>
      </c>
      <c r="T360" s="335">
        <f t="shared" si="162"/>
      </c>
      <c r="U360" s="335"/>
      <c r="V360" s="335">
        <f t="shared" si="176"/>
      </c>
      <c r="W360" s="335">
        <f t="shared" si="183"/>
      </c>
      <c r="X360" s="360">
        <f t="shared" si="163"/>
        <v>0</v>
      </c>
      <c r="Z360" s="359">
        <f t="shared" si="177"/>
        <v>51866</v>
      </c>
      <c r="AA360" s="334">
        <f t="shared" si="164"/>
        <v>348</v>
      </c>
      <c r="AB360" s="335">
        <f t="shared" si="165"/>
      </c>
      <c r="AC360" s="335"/>
      <c r="AD360" s="335">
        <f t="shared" si="178"/>
      </c>
      <c r="AE360" s="335">
        <f t="shared" si="184"/>
      </c>
      <c r="AF360" s="360">
        <f t="shared" si="166"/>
        <v>0</v>
      </c>
      <c r="AH360" s="359">
        <f t="shared" si="179"/>
        <v>51866</v>
      </c>
      <c r="AI360" s="334">
        <f t="shared" si="167"/>
        <v>348</v>
      </c>
      <c r="AJ360" s="335">
        <f t="shared" si="168"/>
      </c>
      <c r="AK360" s="335"/>
      <c r="AL360" s="335">
        <f t="shared" si="180"/>
      </c>
      <c r="AM360" s="335">
        <f t="shared" si="185"/>
      </c>
      <c r="AN360" s="360">
        <f t="shared" si="169"/>
        <v>0</v>
      </c>
    </row>
    <row r="361" spans="1:40" ht="12.75">
      <c r="A361" s="359">
        <f t="shared" si="170"/>
        <v>51897</v>
      </c>
      <c r="B361" s="334">
        <f t="shared" si="155"/>
        <v>349</v>
      </c>
      <c r="C361" s="335">
        <f t="shared" si="156"/>
      </c>
      <c r="D361" s="335"/>
      <c r="E361" s="335">
        <f t="shared" si="171"/>
      </c>
      <c r="F361" s="335">
        <f t="shared" si="181"/>
      </c>
      <c r="G361" s="360">
        <f t="shared" si="157"/>
        <v>0</v>
      </c>
      <c r="H361" s="336">
        <f t="shared" si="172"/>
      </c>
      <c r="I361" s="333"/>
      <c r="J361" s="359">
        <f t="shared" si="173"/>
        <v>51897</v>
      </c>
      <c r="K361" s="334">
        <f t="shared" si="158"/>
        <v>349</v>
      </c>
      <c r="L361" s="335">
        <f t="shared" si="159"/>
      </c>
      <c r="M361" s="335"/>
      <c r="N361" s="335">
        <f t="shared" si="174"/>
      </c>
      <c r="O361" s="335">
        <f t="shared" si="182"/>
      </c>
      <c r="P361" s="360">
        <f t="shared" si="160"/>
        <v>0</v>
      </c>
      <c r="R361" s="359">
        <f t="shared" si="175"/>
        <v>51897</v>
      </c>
      <c r="S361" s="334">
        <f t="shared" si="161"/>
        <v>349</v>
      </c>
      <c r="T361" s="335">
        <f t="shared" si="162"/>
      </c>
      <c r="U361" s="335"/>
      <c r="V361" s="335">
        <f t="shared" si="176"/>
      </c>
      <c r="W361" s="335">
        <f t="shared" si="183"/>
      </c>
      <c r="X361" s="360">
        <f t="shared" si="163"/>
        <v>0</v>
      </c>
      <c r="Z361" s="359">
        <f t="shared" si="177"/>
        <v>51897</v>
      </c>
      <c r="AA361" s="334">
        <f t="shared" si="164"/>
        <v>349</v>
      </c>
      <c r="AB361" s="335">
        <f t="shared" si="165"/>
      </c>
      <c r="AC361" s="335"/>
      <c r="AD361" s="335">
        <f t="shared" si="178"/>
      </c>
      <c r="AE361" s="335">
        <f t="shared" si="184"/>
      </c>
      <c r="AF361" s="360">
        <f t="shared" si="166"/>
        <v>0</v>
      </c>
      <c r="AH361" s="359">
        <f t="shared" si="179"/>
        <v>51897</v>
      </c>
      <c r="AI361" s="334">
        <f t="shared" si="167"/>
        <v>349</v>
      </c>
      <c r="AJ361" s="335">
        <f t="shared" si="168"/>
      </c>
      <c r="AK361" s="335"/>
      <c r="AL361" s="335">
        <f t="shared" si="180"/>
      </c>
      <c r="AM361" s="335">
        <f t="shared" si="185"/>
      </c>
      <c r="AN361" s="360">
        <f t="shared" si="169"/>
        <v>0</v>
      </c>
    </row>
    <row r="362" spans="1:40" ht="12.75">
      <c r="A362" s="359">
        <f t="shared" si="170"/>
        <v>51925</v>
      </c>
      <c r="B362" s="334">
        <f t="shared" si="155"/>
        <v>350</v>
      </c>
      <c r="C362" s="335">
        <f t="shared" si="156"/>
      </c>
      <c r="D362" s="335"/>
      <c r="E362" s="335">
        <f t="shared" si="171"/>
      </c>
      <c r="F362" s="335">
        <f t="shared" si="181"/>
      </c>
      <c r="G362" s="360">
        <f t="shared" si="157"/>
        <v>0</v>
      </c>
      <c r="H362" s="336">
        <f t="shared" si="172"/>
      </c>
      <c r="I362" s="333"/>
      <c r="J362" s="359">
        <f t="shared" si="173"/>
        <v>51925</v>
      </c>
      <c r="K362" s="334">
        <f t="shared" si="158"/>
        <v>350</v>
      </c>
      <c r="L362" s="335">
        <f t="shared" si="159"/>
      </c>
      <c r="M362" s="335"/>
      <c r="N362" s="335">
        <f t="shared" si="174"/>
      </c>
      <c r="O362" s="335">
        <f t="shared" si="182"/>
      </c>
      <c r="P362" s="360">
        <f t="shared" si="160"/>
        <v>0</v>
      </c>
      <c r="R362" s="359">
        <f t="shared" si="175"/>
        <v>51925</v>
      </c>
      <c r="S362" s="334">
        <f t="shared" si="161"/>
        <v>350</v>
      </c>
      <c r="T362" s="335">
        <f t="shared" si="162"/>
      </c>
      <c r="U362" s="335"/>
      <c r="V362" s="335">
        <f t="shared" si="176"/>
      </c>
      <c r="W362" s="335">
        <f t="shared" si="183"/>
      </c>
      <c r="X362" s="360">
        <f t="shared" si="163"/>
        <v>0</v>
      </c>
      <c r="Z362" s="359">
        <f t="shared" si="177"/>
        <v>51925</v>
      </c>
      <c r="AA362" s="334">
        <f t="shared" si="164"/>
        <v>350</v>
      </c>
      <c r="AB362" s="335">
        <f t="shared" si="165"/>
      </c>
      <c r="AC362" s="335"/>
      <c r="AD362" s="335">
        <f t="shared" si="178"/>
      </c>
      <c r="AE362" s="335">
        <f t="shared" si="184"/>
      </c>
      <c r="AF362" s="360">
        <f t="shared" si="166"/>
        <v>0</v>
      </c>
      <c r="AH362" s="359">
        <f t="shared" si="179"/>
        <v>51925</v>
      </c>
      <c r="AI362" s="334">
        <f t="shared" si="167"/>
        <v>350</v>
      </c>
      <c r="AJ362" s="335">
        <f t="shared" si="168"/>
      </c>
      <c r="AK362" s="335"/>
      <c r="AL362" s="335">
        <f t="shared" si="180"/>
      </c>
      <c r="AM362" s="335">
        <f t="shared" si="185"/>
      </c>
      <c r="AN362" s="360">
        <f t="shared" si="169"/>
        <v>0</v>
      </c>
    </row>
    <row r="363" spans="1:40" ht="12.75">
      <c r="A363" s="359">
        <f t="shared" si="170"/>
        <v>51956</v>
      </c>
      <c r="B363" s="334">
        <f t="shared" si="155"/>
        <v>351</v>
      </c>
      <c r="C363" s="335">
        <f t="shared" si="156"/>
      </c>
      <c r="D363" s="335"/>
      <c r="E363" s="335">
        <f t="shared" si="171"/>
      </c>
      <c r="F363" s="335">
        <f t="shared" si="181"/>
      </c>
      <c r="G363" s="360">
        <f t="shared" si="157"/>
        <v>0</v>
      </c>
      <c r="H363" s="336">
        <f t="shared" si="172"/>
      </c>
      <c r="I363" s="333"/>
      <c r="J363" s="359">
        <f t="shared" si="173"/>
        <v>51956</v>
      </c>
      <c r="K363" s="334">
        <f t="shared" si="158"/>
        <v>351</v>
      </c>
      <c r="L363" s="335">
        <f t="shared" si="159"/>
      </c>
      <c r="M363" s="335"/>
      <c r="N363" s="335">
        <f t="shared" si="174"/>
      </c>
      <c r="O363" s="335">
        <f t="shared" si="182"/>
      </c>
      <c r="P363" s="360">
        <f t="shared" si="160"/>
        <v>0</v>
      </c>
      <c r="R363" s="359">
        <f t="shared" si="175"/>
        <v>51956</v>
      </c>
      <c r="S363" s="334">
        <f t="shared" si="161"/>
        <v>351</v>
      </c>
      <c r="T363" s="335">
        <f t="shared" si="162"/>
      </c>
      <c r="U363" s="335"/>
      <c r="V363" s="335">
        <f t="shared" si="176"/>
      </c>
      <c r="W363" s="335">
        <f t="shared" si="183"/>
      </c>
      <c r="X363" s="360">
        <f t="shared" si="163"/>
        <v>0</v>
      </c>
      <c r="Z363" s="359">
        <f t="shared" si="177"/>
        <v>51956</v>
      </c>
      <c r="AA363" s="334">
        <f t="shared" si="164"/>
        <v>351</v>
      </c>
      <c r="AB363" s="335">
        <f t="shared" si="165"/>
      </c>
      <c r="AC363" s="335"/>
      <c r="AD363" s="335">
        <f t="shared" si="178"/>
      </c>
      <c r="AE363" s="335">
        <f t="shared" si="184"/>
      </c>
      <c r="AF363" s="360">
        <f t="shared" si="166"/>
        <v>0</v>
      </c>
      <c r="AH363" s="359">
        <f t="shared" si="179"/>
        <v>51956</v>
      </c>
      <c r="AI363" s="334">
        <f t="shared" si="167"/>
        <v>351</v>
      </c>
      <c r="AJ363" s="335">
        <f t="shared" si="168"/>
      </c>
      <c r="AK363" s="335"/>
      <c r="AL363" s="335">
        <f t="shared" si="180"/>
      </c>
      <c r="AM363" s="335">
        <f t="shared" si="185"/>
      </c>
      <c r="AN363" s="360">
        <f t="shared" si="169"/>
        <v>0</v>
      </c>
    </row>
    <row r="364" spans="1:40" ht="12.75">
      <c r="A364" s="359">
        <f t="shared" si="170"/>
        <v>51986</v>
      </c>
      <c r="B364" s="334">
        <f t="shared" si="155"/>
        <v>352</v>
      </c>
      <c r="C364" s="335">
        <f t="shared" si="156"/>
      </c>
      <c r="D364" s="335"/>
      <c r="E364" s="335">
        <f t="shared" si="171"/>
      </c>
      <c r="F364" s="335">
        <f t="shared" si="181"/>
      </c>
      <c r="G364" s="360">
        <f t="shared" si="157"/>
        <v>0</v>
      </c>
      <c r="H364" s="336">
        <f t="shared" si="172"/>
      </c>
      <c r="I364" s="333"/>
      <c r="J364" s="359">
        <f t="shared" si="173"/>
        <v>51986</v>
      </c>
      <c r="K364" s="334">
        <f t="shared" si="158"/>
        <v>352</v>
      </c>
      <c r="L364" s="335">
        <f t="shared" si="159"/>
      </c>
      <c r="M364" s="335"/>
      <c r="N364" s="335">
        <f t="shared" si="174"/>
      </c>
      <c r="O364" s="335">
        <f t="shared" si="182"/>
      </c>
      <c r="P364" s="360">
        <f t="shared" si="160"/>
        <v>0</v>
      </c>
      <c r="R364" s="359">
        <f t="shared" si="175"/>
        <v>51986</v>
      </c>
      <c r="S364" s="334">
        <f t="shared" si="161"/>
        <v>352</v>
      </c>
      <c r="T364" s="335">
        <f t="shared" si="162"/>
      </c>
      <c r="U364" s="335"/>
      <c r="V364" s="335">
        <f t="shared" si="176"/>
      </c>
      <c r="W364" s="335">
        <f t="shared" si="183"/>
      </c>
      <c r="X364" s="360">
        <f t="shared" si="163"/>
        <v>0</v>
      </c>
      <c r="Z364" s="359">
        <f t="shared" si="177"/>
        <v>51986</v>
      </c>
      <c r="AA364" s="334">
        <f t="shared" si="164"/>
        <v>352</v>
      </c>
      <c r="AB364" s="335">
        <f t="shared" si="165"/>
      </c>
      <c r="AC364" s="335"/>
      <c r="AD364" s="335">
        <f t="shared" si="178"/>
      </c>
      <c r="AE364" s="335">
        <f t="shared" si="184"/>
      </c>
      <c r="AF364" s="360">
        <f t="shared" si="166"/>
        <v>0</v>
      </c>
      <c r="AH364" s="359">
        <f t="shared" si="179"/>
        <v>51986</v>
      </c>
      <c r="AI364" s="334">
        <f t="shared" si="167"/>
        <v>352</v>
      </c>
      <c r="AJ364" s="335">
        <f t="shared" si="168"/>
      </c>
      <c r="AK364" s="335"/>
      <c r="AL364" s="335">
        <f t="shared" si="180"/>
      </c>
      <c r="AM364" s="335">
        <f t="shared" si="185"/>
      </c>
      <c r="AN364" s="360">
        <f t="shared" si="169"/>
        <v>0</v>
      </c>
    </row>
    <row r="365" spans="1:40" ht="12.75">
      <c r="A365" s="359">
        <f t="shared" si="170"/>
        <v>52017</v>
      </c>
      <c r="B365" s="334">
        <f t="shared" si="155"/>
        <v>353</v>
      </c>
      <c r="C365" s="335">
        <f t="shared" si="156"/>
      </c>
      <c r="D365" s="335"/>
      <c r="E365" s="335">
        <f t="shared" si="171"/>
      </c>
      <c r="F365" s="335">
        <f t="shared" si="181"/>
      </c>
      <c r="G365" s="360">
        <f t="shared" si="157"/>
        <v>0</v>
      </c>
      <c r="H365" s="336">
        <f t="shared" si="172"/>
      </c>
      <c r="I365" s="333"/>
      <c r="J365" s="359">
        <f t="shared" si="173"/>
        <v>52017</v>
      </c>
      <c r="K365" s="334">
        <f t="shared" si="158"/>
        <v>353</v>
      </c>
      <c r="L365" s="335">
        <f t="shared" si="159"/>
      </c>
      <c r="M365" s="335"/>
      <c r="N365" s="335">
        <f t="shared" si="174"/>
      </c>
      <c r="O365" s="335">
        <f t="shared" si="182"/>
      </c>
      <c r="P365" s="360">
        <f t="shared" si="160"/>
        <v>0</v>
      </c>
      <c r="R365" s="359">
        <f t="shared" si="175"/>
        <v>52017</v>
      </c>
      <c r="S365" s="334">
        <f t="shared" si="161"/>
        <v>353</v>
      </c>
      <c r="T365" s="335">
        <f t="shared" si="162"/>
      </c>
      <c r="U365" s="335"/>
      <c r="V365" s="335">
        <f t="shared" si="176"/>
      </c>
      <c r="W365" s="335">
        <f t="shared" si="183"/>
      </c>
      <c r="X365" s="360">
        <f t="shared" si="163"/>
        <v>0</v>
      </c>
      <c r="Z365" s="359">
        <f t="shared" si="177"/>
        <v>52017</v>
      </c>
      <c r="AA365" s="334">
        <f t="shared" si="164"/>
        <v>353</v>
      </c>
      <c r="AB365" s="335">
        <f t="shared" si="165"/>
      </c>
      <c r="AC365" s="335"/>
      <c r="AD365" s="335">
        <f t="shared" si="178"/>
      </c>
      <c r="AE365" s="335">
        <f t="shared" si="184"/>
      </c>
      <c r="AF365" s="360">
        <f t="shared" si="166"/>
        <v>0</v>
      </c>
      <c r="AH365" s="359">
        <f t="shared" si="179"/>
        <v>52017</v>
      </c>
      <c r="AI365" s="334">
        <f t="shared" si="167"/>
        <v>353</v>
      </c>
      <c r="AJ365" s="335">
        <f t="shared" si="168"/>
      </c>
      <c r="AK365" s="335"/>
      <c r="AL365" s="335">
        <f t="shared" si="180"/>
      </c>
      <c r="AM365" s="335">
        <f t="shared" si="185"/>
      </c>
      <c r="AN365" s="360">
        <f t="shared" si="169"/>
        <v>0</v>
      </c>
    </row>
    <row r="366" spans="1:40" ht="12.75">
      <c r="A366" s="359">
        <f t="shared" si="170"/>
        <v>52047</v>
      </c>
      <c r="B366" s="334">
        <f t="shared" si="155"/>
        <v>354</v>
      </c>
      <c r="C366" s="335">
        <f t="shared" si="156"/>
      </c>
      <c r="D366" s="335"/>
      <c r="E366" s="335">
        <f t="shared" si="171"/>
      </c>
      <c r="F366" s="335">
        <f t="shared" si="181"/>
      </c>
      <c r="G366" s="360">
        <f t="shared" si="157"/>
        <v>0</v>
      </c>
      <c r="H366" s="336">
        <f t="shared" si="172"/>
      </c>
      <c r="I366" s="333"/>
      <c r="J366" s="359">
        <f t="shared" si="173"/>
        <v>52047</v>
      </c>
      <c r="K366" s="334">
        <f t="shared" si="158"/>
        <v>354</v>
      </c>
      <c r="L366" s="335">
        <f t="shared" si="159"/>
      </c>
      <c r="M366" s="335"/>
      <c r="N366" s="335">
        <f t="shared" si="174"/>
      </c>
      <c r="O366" s="335">
        <f t="shared" si="182"/>
      </c>
      <c r="P366" s="360">
        <f t="shared" si="160"/>
        <v>0</v>
      </c>
      <c r="R366" s="359">
        <f t="shared" si="175"/>
        <v>52047</v>
      </c>
      <c r="S366" s="334">
        <f t="shared" si="161"/>
        <v>354</v>
      </c>
      <c r="T366" s="335">
        <f t="shared" si="162"/>
      </c>
      <c r="U366" s="335"/>
      <c r="V366" s="335">
        <f t="shared" si="176"/>
      </c>
      <c r="W366" s="335">
        <f t="shared" si="183"/>
      </c>
      <c r="X366" s="360">
        <f t="shared" si="163"/>
        <v>0</v>
      </c>
      <c r="Z366" s="359">
        <f t="shared" si="177"/>
        <v>52047</v>
      </c>
      <c r="AA366" s="334">
        <f t="shared" si="164"/>
        <v>354</v>
      </c>
      <c r="AB366" s="335">
        <f t="shared" si="165"/>
      </c>
      <c r="AC366" s="335"/>
      <c r="AD366" s="335">
        <f t="shared" si="178"/>
      </c>
      <c r="AE366" s="335">
        <f t="shared" si="184"/>
      </c>
      <c r="AF366" s="360">
        <f t="shared" si="166"/>
        <v>0</v>
      </c>
      <c r="AH366" s="359">
        <f t="shared" si="179"/>
        <v>52047</v>
      </c>
      <c r="AI366" s="334">
        <f t="shared" si="167"/>
        <v>354</v>
      </c>
      <c r="AJ366" s="335">
        <f t="shared" si="168"/>
      </c>
      <c r="AK366" s="335"/>
      <c r="AL366" s="335">
        <f t="shared" si="180"/>
      </c>
      <c r="AM366" s="335">
        <f t="shared" si="185"/>
      </c>
      <c r="AN366" s="360">
        <f t="shared" si="169"/>
        <v>0</v>
      </c>
    </row>
    <row r="367" spans="1:40" ht="12.75">
      <c r="A367" s="359">
        <f t="shared" si="170"/>
        <v>52078</v>
      </c>
      <c r="B367" s="334">
        <f t="shared" si="155"/>
        <v>355</v>
      </c>
      <c r="C367" s="335">
        <f t="shared" si="156"/>
      </c>
      <c r="D367" s="335"/>
      <c r="E367" s="335">
        <f t="shared" si="171"/>
      </c>
      <c r="F367" s="335">
        <f t="shared" si="181"/>
      </c>
      <c r="G367" s="360">
        <f t="shared" si="157"/>
        <v>0</v>
      </c>
      <c r="H367" s="336">
        <f t="shared" si="172"/>
      </c>
      <c r="I367" s="333"/>
      <c r="J367" s="359">
        <f t="shared" si="173"/>
        <v>52078</v>
      </c>
      <c r="K367" s="334">
        <f t="shared" si="158"/>
        <v>355</v>
      </c>
      <c r="L367" s="335">
        <f t="shared" si="159"/>
      </c>
      <c r="M367" s="335"/>
      <c r="N367" s="335">
        <f t="shared" si="174"/>
      </c>
      <c r="O367" s="335">
        <f t="shared" si="182"/>
      </c>
      <c r="P367" s="360">
        <f t="shared" si="160"/>
        <v>0</v>
      </c>
      <c r="R367" s="359">
        <f t="shared" si="175"/>
        <v>52078</v>
      </c>
      <c r="S367" s="334">
        <f t="shared" si="161"/>
        <v>355</v>
      </c>
      <c r="T367" s="335">
        <f t="shared" si="162"/>
      </c>
      <c r="U367" s="335"/>
      <c r="V367" s="335">
        <f t="shared" si="176"/>
      </c>
      <c r="W367" s="335">
        <f t="shared" si="183"/>
      </c>
      <c r="X367" s="360">
        <f t="shared" si="163"/>
        <v>0</v>
      </c>
      <c r="Z367" s="359">
        <f t="shared" si="177"/>
        <v>52078</v>
      </c>
      <c r="AA367" s="334">
        <f t="shared" si="164"/>
        <v>355</v>
      </c>
      <c r="AB367" s="335">
        <f t="shared" si="165"/>
      </c>
      <c r="AC367" s="335"/>
      <c r="AD367" s="335">
        <f t="shared" si="178"/>
      </c>
      <c r="AE367" s="335">
        <f t="shared" si="184"/>
      </c>
      <c r="AF367" s="360">
        <f t="shared" si="166"/>
        <v>0</v>
      </c>
      <c r="AH367" s="359">
        <f t="shared" si="179"/>
        <v>52078</v>
      </c>
      <c r="AI367" s="334">
        <f t="shared" si="167"/>
        <v>355</v>
      </c>
      <c r="AJ367" s="335">
        <f t="shared" si="168"/>
      </c>
      <c r="AK367" s="335"/>
      <c r="AL367" s="335">
        <f t="shared" si="180"/>
      </c>
      <c r="AM367" s="335">
        <f t="shared" si="185"/>
      </c>
      <c r="AN367" s="360">
        <f t="shared" si="169"/>
        <v>0</v>
      </c>
    </row>
    <row r="368" spans="1:40" ht="12.75">
      <c r="A368" s="359">
        <f t="shared" si="170"/>
        <v>52109</v>
      </c>
      <c r="B368" s="334">
        <f t="shared" si="155"/>
        <v>356</v>
      </c>
      <c r="C368" s="335">
        <f t="shared" si="156"/>
      </c>
      <c r="D368" s="335"/>
      <c r="E368" s="335">
        <f t="shared" si="171"/>
      </c>
      <c r="F368" s="335">
        <f t="shared" si="181"/>
      </c>
      <c r="G368" s="360">
        <f t="shared" si="157"/>
        <v>0</v>
      </c>
      <c r="H368" s="336">
        <f t="shared" si="172"/>
      </c>
      <c r="I368" s="333"/>
      <c r="J368" s="359">
        <f t="shared" si="173"/>
        <v>52109</v>
      </c>
      <c r="K368" s="334">
        <f t="shared" si="158"/>
        <v>356</v>
      </c>
      <c r="L368" s="335">
        <f t="shared" si="159"/>
      </c>
      <c r="M368" s="335"/>
      <c r="N368" s="335">
        <f t="shared" si="174"/>
      </c>
      <c r="O368" s="335">
        <f t="shared" si="182"/>
      </c>
      <c r="P368" s="360">
        <f t="shared" si="160"/>
        <v>0</v>
      </c>
      <c r="R368" s="359">
        <f t="shared" si="175"/>
        <v>52109</v>
      </c>
      <c r="S368" s="334">
        <f t="shared" si="161"/>
        <v>356</v>
      </c>
      <c r="T368" s="335">
        <f t="shared" si="162"/>
      </c>
      <c r="U368" s="335"/>
      <c r="V368" s="335">
        <f t="shared" si="176"/>
      </c>
      <c r="W368" s="335">
        <f t="shared" si="183"/>
      </c>
      <c r="X368" s="360">
        <f t="shared" si="163"/>
        <v>0</v>
      </c>
      <c r="Z368" s="359">
        <f t="shared" si="177"/>
        <v>52109</v>
      </c>
      <c r="AA368" s="334">
        <f t="shared" si="164"/>
        <v>356</v>
      </c>
      <c r="AB368" s="335">
        <f t="shared" si="165"/>
      </c>
      <c r="AC368" s="335"/>
      <c r="AD368" s="335">
        <f t="shared" si="178"/>
      </c>
      <c r="AE368" s="335">
        <f t="shared" si="184"/>
      </c>
      <c r="AF368" s="360">
        <f t="shared" si="166"/>
        <v>0</v>
      </c>
      <c r="AH368" s="359">
        <f t="shared" si="179"/>
        <v>52109</v>
      </c>
      <c r="AI368" s="334">
        <f t="shared" si="167"/>
        <v>356</v>
      </c>
      <c r="AJ368" s="335">
        <f t="shared" si="168"/>
      </c>
      <c r="AK368" s="335"/>
      <c r="AL368" s="335">
        <f t="shared" si="180"/>
      </c>
      <c r="AM368" s="335">
        <f t="shared" si="185"/>
      </c>
      <c r="AN368" s="360">
        <f t="shared" si="169"/>
        <v>0</v>
      </c>
    </row>
    <row r="369" spans="1:40" ht="12.75">
      <c r="A369" s="359">
        <f t="shared" si="170"/>
        <v>52139</v>
      </c>
      <c r="B369" s="334">
        <f t="shared" si="155"/>
        <v>357</v>
      </c>
      <c r="C369" s="335">
        <f t="shared" si="156"/>
      </c>
      <c r="D369" s="335"/>
      <c r="E369" s="335">
        <f t="shared" si="171"/>
      </c>
      <c r="F369" s="335">
        <f t="shared" si="181"/>
      </c>
      <c r="G369" s="360">
        <f t="shared" si="157"/>
        <v>0</v>
      </c>
      <c r="H369" s="336">
        <f t="shared" si="172"/>
      </c>
      <c r="I369" s="333"/>
      <c r="J369" s="359">
        <f t="shared" si="173"/>
        <v>52139</v>
      </c>
      <c r="K369" s="334">
        <f t="shared" si="158"/>
        <v>357</v>
      </c>
      <c r="L369" s="335">
        <f t="shared" si="159"/>
      </c>
      <c r="M369" s="335"/>
      <c r="N369" s="335">
        <f t="shared" si="174"/>
      </c>
      <c r="O369" s="335">
        <f t="shared" si="182"/>
      </c>
      <c r="P369" s="360">
        <f t="shared" si="160"/>
        <v>0</v>
      </c>
      <c r="R369" s="359">
        <f t="shared" si="175"/>
        <v>52139</v>
      </c>
      <c r="S369" s="334">
        <f t="shared" si="161"/>
        <v>357</v>
      </c>
      <c r="T369" s="335">
        <f t="shared" si="162"/>
      </c>
      <c r="U369" s="335"/>
      <c r="V369" s="335">
        <f t="shared" si="176"/>
      </c>
      <c r="W369" s="335">
        <f t="shared" si="183"/>
      </c>
      <c r="X369" s="360">
        <f t="shared" si="163"/>
        <v>0</v>
      </c>
      <c r="Z369" s="359">
        <f t="shared" si="177"/>
        <v>52139</v>
      </c>
      <c r="AA369" s="334">
        <f t="shared" si="164"/>
        <v>357</v>
      </c>
      <c r="AB369" s="335">
        <f t="shared" si="165"/>
      </c>
      <c r="AC369" s="335"/>
      <c r="AD369" s="335">
        <f t="shared" si="178"/>
      </c>
      <c r="AE369" s="335">
        <f t="shared" si="184"/>
      </c>
      <c r="AF369" s="360">
        <f t="shared" si="166"/>
        <v>0</v>
      </c>
      <c r="AH369" s="359">
        <f t="shared" si="179"/>
        <v>52139</v>
      </c>
      <c r="AI369" s="334">
        <f t="shared" si="167"/>
        <v>357</v>
      </c>
      <c r="AJ369" s="335">
        <f t="shared" si="168"/>
      </c>
      <c r="AK369" s="335"/>
      <c r="AL369" s="335">
        <f t="shared" si="180"/>
      </c>
      <c r="AM369" s="335">
        <f t="shared" si="185"/>
      </c>
      <c r="AN369" s="360">
        <f t="shared" si="169"/>
        <v>0</v>
      </c>
    </row>
    <row r="370" spans="1:40" ht="12.75">
      <c r="A370" s="359">
        <f t="shared" si="170"/>
        <v>52170</v>
      </c>
      <c r="B370" s="334">
        <f t="shared" si="155"/>
        <v>358</v>
      </c>
      <c r="C370" s="335">
        <f t="shared" si="156"/>
      </c>
      <c r="D370" s="335"/>
      <c r="E370" s="335">
        <f t="shared" si="171"/>
      </c>
      <c r="F370" s="335">
        <f t="shared" si="181"/>
      </c>
      <c r="G370" s="360">
        <f t="shared" si="157"/>
        <v>0</v>
      </c>
      <c r="H370" s="336">
        <f t="shared" si="172"/>
      </c>
      <c r="I370" s="333"/>
      <c r="J370" s="359">
        <f t="shared" si="173"/>
        <v>52170</v>
      </c>
      <c r="K370" s="334">
        <f t="shared" si="158"/>
        <v>358</v>
      </c>
      <c r="L370" s="335">
        <f t="shared" si="159"/>
      </c>
      <c r="M370" s="335"/>
      <c r="N370" s="335">
        <f t="shared" si="174"/>
      </c>
      <c r="O370" s="335">
        <f t="shared" si="182"/>
      </c>
      <c r="P370" s="360">
        <f t="shared" si="160"/>
        <v>0</v>
      </c>
      <c r="R370" s="359">
        <f t="shared" si="175"/>
        <v>52170</v>
      </c>
      <c r="S370" s="334">
        <f t="shared" si="161"/>
        <v>358</v>
      </c>
      <c r="T370" s="335">
        <f t="shared" si="162"/>
      </c>
      <c r="U370" s="335"/>
      <c r="V370" s="335">
        <f t="shared" si="176"/>
      </c>
      <c r="W370" s="335">
        <f t="shared" si="183"/>
      </c>
      <c r="X370" s="360">
        <f t="shared" si="163"/>
        <v>0</v>
      </c>
      <c r="Z370" s="359">
        <f t="shared" si="177"/>
        <v>52170</v>
      </c>
      <c r="AA370" s="334">
        <f t="shared" si="164"/>
        <v>358</v>
      </c>
      <c r="AB370" s="335">
        <f t="shared" si="165"/>
      </c>
      <c r="AC370" s="335"/>
      <c r="AD370" s="335">
        <f t="shared" si="178"/>
      </c>
      <c r="AE370" s="335">
        <f t="shared" si="184"/>
      </c>
      <c r="AF370" s="360">
        <f t="shared" si="166"/>
        <v>0</v>
      </c>
      <c r="AH370" s="359">
        <f t="shared" si="179"/>
        <v>52170</v>
      </c>
      <c r="AI370" s="334">
        <f t="shared" si="167"/>
        <v>358</v>
      </c>
      <c r="AJ370" s="335">
        <f t="shared" si="168"/>
      </c>
      <c r="AK370" s="335"/>
      <c r="AL370" s="335">
        <f t="shared" si="180"/>
      </c>
      <c r="AM370" s="335">
        <f t="shared" si="185"/>
      </c>
      <c r="AN370" s="360">
        <f t="shared" si="169"/>
        <v>0</v>
      </c>
    </row>
    <row r="371" spans="1:40" ht="12.75">
      <c r="A371" s="359">
        <f t="shared" si="170"/>
        <v>52200</v>
      </c>
      <c r="B371" s="334">
        <f t="shared" si="155"/>
        <v>359</v>
      </c>
      <c r="C371" s="335">
        <f t="shared" si="156"/>
      </c>
      <c r="D371" s="335"/>
      <c r="E371" s="335">
        <f t="shared" si="171"/>
      </c>
      <c r="F371" s="335">
        <f t="shared" si="181"/>
      </c>
      <c r="G371" s="360">
        <f t="shared" si="157"/>
        <v>0</v>
      </c>
      <c r="H371" s="336">
        <f t="shared" si="172"/>
      </c>
      <c r="I371" s="333"/>
      <c r="J371" s="359">
        <f t="shared" si="173"/>
        <v>52200</v>
      </c>
      <c r="K371" s="334">
        <f t="shared" si="158"/>
        <v>359</v>
      </c>
      <c r="L371" s="335">
        <f t="shared" si="159"/>
      </c>
      <c r="M371" s="335"/>
      <c r="N371" s="335">
        <f t="shared" si="174"/>
      </c>
      <c r="O371" s="335">
        <f t="shared" si="182"/>
      </c>
      <c r="P371" s="360">
        <f t="shared" si="160"/>
        <v>0</v>
      </c>
      <c r="R371" s="359">
        <f t="shared" si="175"/>
        <v>52200</v>
      </c>
      <c r="S371" s="334">
        <f t="shared" si="161"/>
        <v>359</v>
      </c>
      <c r="T371" s="335">
        <f t="shared" si="162"/>
      </c>
      <c r="U371" s="335"/>
      <c r="V371" s="335">
        <f t="shared" si="176"/>
      </c>
      <c r="W371" s="335">
        <f t="shared" si="183"/>
      </c>
      <c r="X371" s="360">
        <f t="shared" si="163"/>
        <v>0</v>
      </c>
      <c r="Z371" s="359">
        <f t="shared" si="177"/>
        <v>52200</v>
      </c>
      <c r="AA371" s="334">
        <f t="shared" si="164"/>
        <v>359</v>
      </c>
      <c r="AB371" s="335">
        <f t="shared" si="165"/>
      </c>
      <c r="AC371" s="335"/>
      <c r="AD371" s="335">
        <f t="shared" si="178"/>
      </c>
      <c r="AE371" s="335">
        <f t="shared" si="184"/>
      </c>
      <c r="AF371" s="360">
        <f t="shared" si="166"/>
        <v>0</v>
      </c>
      <c r="AH371" s="359">
        <f t="shared" si="179"/>
        <v>52200</v>
      </c>
      <c r="AI371" s="334">
        <f t="shared" si="167"/>
        <v>359</v>
      </c>
      <c r="AJ371" s="335">
        <f t="shared" si="168"/>
      </c>
      <c r="AK371" s="335"/>
      <c r="AL371" s="335">
        <f t="shared" si="180"/>
      </c>
      <c r="AM371" s="335">
        <f t="shared" si="185"/>
      </c>
      <c r="AN371" s="360">
        <f t="shared" si="169"/>
        <v>0</v>
      </c>
    </row>
    <row r="372" spans="1:40" ht="12.75">
      <c r="A372" s="361">
        <f t="shared" si="170"/>
        <v>52231</v>
      </c>
      <c r="B372" s="337">
        <f t="shared" si="155"/>
        <v>360</v>
      </c>
      <c r="C372" s="338">
        <f t="shared" si="156"/>
      </c>
      <c r="D372" s="338"/>
      <c r="E372" s="338">
        <f t="shared" si="171"/>
      </c>
      <c r="F372" s="338">
        <f t="shared" si="181"/>
      </c>
      <c r="G372" s="362">
        <f t="shared" si="157"/>
        <v>0</v>
      </c>
      <c r="H372" s="339">
        <f t="shared" si="172"/>
      </c>
      <c r="I372" s="340"/>
      <c r="J372" s="361">
        <f t="shared" si="173"/>
        <v>52231</v>
      </c>
      <c r="K372" s="337">
        <f t="shared" si="158"/>
        <v>360</v>
      </c>
      <c r="L372" s="338">
        <f t="shared" si="159"/>
      </c>
      <c r="M372" s="338"/>
      <c r="N372" s="338">
        <f t="shared" si="174"/>
      </c>
      <c r="O372" s="338">
        <f t="shared" si="182"/>
      </c>
      <c r="P372" s="362">
        <f t="shared" si="160"/>
        <v>0</v>
      </c>
      <c r="R372" s="361">
        <f t="shared" si="175"/>
        <v>52231</v>
      </c>
      <c r="S372" s="337">
        <f t="shared" si="161"/>
        <v>360</v>
      </c>
      <c r="T372" s="338">
        <f t="shared" si="162"/>
      </c>
      <c r="U372" s="338"/>
      <c r="V372" s="338">
        <f t="shared" si="176"/>
      </c>
      <c r="W372" s="338">
        <f t="shared" si="183"/>
      </c>
      <c r="X372" s="362">
        <f t="shared" si="163"/>
        <v>0</v>
      </c>
      <c r="Z372" s="361">
        <f t="shared" si="177"/>
        <v>52231</v>
      </c>
      <c r="AA372" s="337">
        <f t="shared" si="164"/>
        <v>360</v>
      </c>
      <c r="AB372" s="338">
        <f t="shared" si="165"/>
      </c>
      <c r="AC372" s="338"/>
      <c r="AD372" s="338">
        <f t="shared" si="178"/>
      </c>
      <c r="AE372" s="338">
        <f t="shared" si="184"/>
      </c>
      <c r="AF372" s="362">
        <f t="shared" si="166"/>
        <v>0</v>
      </c>
      <c r="AH372" s="361">
        <f t="shared" si="179"/>
        <v>52231</v>
      </c>
      <c r="AI372" s="337">
        <f t="shared" si="167"/>
        <v>360</v>
      </c>
      <c r="AJ372" s="338">
        <f t="shared" si="168"/>
      </c>
      <c r="AK372" s="338"/>
      <c r="AL372" s="338">
        <f t="shared" si="180"/>
      </c>
      <c r="AM372" s="338">
        <f t="shared" si="185"/>
      </c>
      <c r="AN372" s="362">
        <f t="shared" si="169"/>
        <v>0</v>
      </c>
    </row>
    <row r="373" spans="1:40" ht="12.75">
      <c r="A373" s="363"/>
      <c r="B373" s="331" t="s">
        <v>252</v>
      </c>
      <c r="C373" s="338">
        <f>SUM(C13:C372)</f>
        <v>68152.55591550458</v>
      </c>
      <c r="D373" s="338">
        <f>SUM(D13:D372)</f>
        <v>0</v>
      </c>
      <c r="E373" s="338">
        <f>SUM(E13:E372)</f>
        <v>43152.55591550469</v>
      </c>
      <c r="F373" s="338">
        <f>SUM(F13:F372)</f>
        <v>24999.99999999988</v>
      </c>
      <c r="G373" s="362"/>
      <c r="H373" s="341"/>
      <c r="I373" s="341"/>
      <c r="J373" s="363"/>
      <c r="K373" s="331" t="s">
        <v>252</v>
      </c>
      <c r="L373" s="338">
        <f>SUM(L13:L372)</f>
        <v>68152.55591550458</v>
      </c>
      <c r="M373" s="338">
        <f>SUM(M13:M372)</f>
        <v>0</v>
      </c>
      <c r="N373" s="338">
        <f>SUM(N13:N372)</f>
        <v>43152.55591550469</v>
      </c>
      <c r="O373" s="338">
        <f>SUM(O13:O372)</f>
        <v>24999.99999999988</v>
      </c>
      <c r="P373" s="362"/>
      <c r="R373" s="363"/>
      <c r="S373" s="331" t="s">
        <v>252</v>
      </c>
      <c r="T373" s="338">
        <f>SUM(T13:T372)</f>
        <v>68152.55591550458</v>
      </c>
      <c r="U373" s="338">
        <f>SUM(U13:U372)</f>
        <v>0</v>
      </c>
      <c r="V373" s="338">
        <f>SUM(V13:V372)</f>
        <v>43152.55591550469</v>
      </c>
      <c r="W373" s="338">
        <f>SUM(W13:W372)</f>
        <v>24999.99999999988</v>
      </c>
      <c r="X373" s="362"/>
      <c r="Z373" s="363"/>
      <c r="AA373" s="331" t="s">
        <v>252</v>
      </c>
      <c r="AB373" s="338">
        <f>SUM(AB13:AB372)</f>
        <v>68152.55591550458</v>
      </c>
      <c r="AC373" s="338">
        <f>SUM(AC13:AC372)</f>
        <v>0</v>
      </c>
      <c r="AD373" s="338">
        <f>SUM(AD13:AD372)</f>
        <v>43152.55591550469</v>
      </c>
      <c r="AE373" s="338">
        <f>SUM(AE13:AE372)</f>
        <v>24999.99999999988</v>
      </c>
      <c r="AF373" s="362"/>
      <c r="AH373" s="363"/>
      <c r="AI373" s="331" t="s">
        <v>252</v>
      </c>
      <c r="AJ373" s="338">
        <f>SUM(AJ13:AJ372)</f>
        <v>68152.55591550458</v>
      </c>
      <c r="AK373" s="338">
        <f>SUM(AK13:AK372)</f>
        <v>0</v>
      </c>
      <c r="AL373" s="338">
        <f>SUM(AL13:AL372)</f>
        <v>43152.55591550469</v>
      </c>
      <c r="AM373" s="338">
        <f>SUM(AM13:AM372)</f>
        <v>24999.99999999988</v>
      </c>
      <c r="AN373" s="362"/>
    </row>
    <row r="374" spans="3:40" ht="12.75">
      <c r="C374" s="341"/>
      <c r="D374" s="341"/>
      <c r="E374" s="341"/>
      <c r="F374" s="341"/>
      <c r="G374" s="341"/>
      <c r="H374" s="341"/>
      <c r="I374" s="336"/>
      <c r="L374" s="341"/>
      <c r="M374" s="341"/>
      <c r="N374" s="341"/>
      <c r="O374" s="341"/>
      <c r="P374" s="341"/>
      <c r="T374" s="341"/>
      <c r="U374" s="341"/>
      <c r="V374" s="341"/>
      <c r="W374" s="341"/>
      <c r="X374" s="341"/>
      <c r="AB374" s="341"/>
      <c r="AC374" s="341"/>
      <c r="AD374" s="341"/>
      <c r="AE374" s="341"/>
      <c r="AF374" s="341"/>
      <c r="AJ374" s="341"/>
      <c r="AK374" s="341"/>
      <c r="AL374" s="341"/>
      <c r="AM374" s="341"/>
      <c r="AN374" s="341"/>
    </row>
    <row r="375" spans="3:40" ht="12.75">
      <c r="C375" s="341"/>
      <c r="D375" s="341"/>
      <c r="E375" s="341"/>
      <c r="F375" s="341"/>
      <c r="G375" s="341"/>
      <c r="H375" s="341"/>
      <c r="I375" s="336"/>
      <c r="L375" s="341"/>
      <c r="M375" s="341"/>
      <c r="N375" s="341"/>
      <c r="O375" s="341"/>
      <c r="P375" s="341"/>
      <c r="T375" s="341"/>
      <c r="U375" s="341"/>
      <c r="V375" s="341"/>
      <c r="W375" s="341"/>
      <c r="X375" s="341"/>
      <c r="AB375" s="341"/>
      <c r="AC375" s="341"/>
      <c r="AD375" s="341"/>
      <c r="AE375" s="341"/>
      <c r="AF375" s="341"/>
      <c r="AJ375" s="341"/>
      <c r="AK375" s="341"/>
      <c r="AL375" s="341"/>
      <c r="AM375" s="341"/>
      <c r="AN375" s="341"/>
    </row>
    <row r="376" spans="3:40" ht="12.75">
      <c r="C376" s="341"/>
      <c r="D376" s="341"/>
      <c r="E376" s="341"/>
      <c r="F376" s="341"/>
      <c r="G376" s="341"/>
      <c r="H376" s="341"/>
      <c r="I376" s="336"/>
      <c r="L376" s="341"/>
      <c r="M376" s="341"/>
      <c r="N376" s="341"/>
      <c r="O376" s="341"/>
      <c r="P376" s="341"/>
      <c r="T376" s="341"/>
      <c r="U376" s="341"/>
      <c r="V376" s="341"/>
      <c r="W376" s="341"/>
      <c r="X376" s="341"/>
      <c r="AB376" s="341"/>
      <c r="AC376" s="341"/>
      <c r="AD376" s="341"/>
      <c r="AE376" s="341"/>
      <c r="AF376" s="341"/>
      <c r="AJ376" s="341"/>
      <c r="AK376" s="341"/>
      <c r="AL376" s="341"/>
      <c r="AM376" s="341"/>
      <c r="AN376" s="341"/>
    </row>
    <row r="377" spans="3:40" ht="12.75">
      <c r="C377" s="341"/>
      <c r="D377" s="341"/>
      <c r="E377" s="341"/>
      <c r="F377" s="341"/>
      <c r="G377" s="341"/>
      <c r="H377" s="341"/>
      <c r="I377" s="336"/>
      <c r="L377" s="341"/>
      <c r="M377" s="341"/>
      <c r="N377" s="341"/>
      <c r="O377" s="341"/>
      <c r="P377" s="341"/>
      <c r="T377" s="341"/>
      <c r="U377" s="341"/>
      <c r="V377" s="341"/>
      <c r="W377" s="341"/>
      <c r="X377" s="341"/>
      <c r="AB377" s="341"/>
      <c r="AC377" s="341"/>
      <c r="AD377" s="341"/>
      <c r="AE377" s="341"/>
      <c r="AF377" s="341"/>
      <c r="AJ377" s="341"/>
      <c r="AK377" s="341"/>
      <c r="AL377" s="341"/>
      <c r="AM377" s="341"/>
      <c r="AN377" s="341"/>
    </row>
    <row r="378" spans="3:40" ht="12.75">
      <c r="C378" s="341"/>
      <c r="D378" s="341"/>
      <c r="E378" s="341"/>
      <c r="F378" s="341"/>
      <c r="G378" s="341"/>
      <c r="H378" s="341"/>
      <c r="I378" s="336"/>
      <c r="L378" s="341"/>
      <c r="M378" s="341"/>
      <c r="N378" s="341"/>
      <c r="O378" s="341"/>
      <c r="P378" s="341"/>
      <c r="T378" s="341"/>
      <c r="U378" s="341"/>
      <c r="V378" s="341"/>
      <c r="W378" s="341"/>
      <c r="X378" s="341"/>
      <c r="AB378" s="341"/>
      <c r="AC378" s="341"/>
      <c r="AD378" s="341"/>
      <c r="AE378" s="341"/>
      <c r="AF378" s="341"/>
      <c r="AJ378" s="341"/>
      <c r="AK378" s="341"/>
      <c r="AL378" s="341"/>
      <c r="AM378" s="341"/>
      <c r="AN378" s="341"/>
    </row>
    <row r="379" spans="3:40" ht="12.75">
      <c r="C379" s="341"/>
      <c r="D379" s="341"/>
      <c r="E379" s="341"/>
      <c r="F379" s="341"/>
      <c r="G379" s="341"/>
      <c r="H379" s="341"/>
      <c r="I379" s="336"/>
      <c r="L379" s="341"/>
      <c r="M379" s="341"/>
      <c r="N379" s="341"/>
      <c r="O379" s="341"/>
      <c r="P379" s="341"/>
      <c r="T379" s="341"/>
      <c r="U379" s="341"/>
      <c r="V379" s="341"/>
      <c r="W379" s="341"/>
      <c r="X379" s="341"/>
      <c r="AB379" s="341"/>
      <c r="AC379" s="341"/>
      <c r="AD379" s="341"/>
      <c r="AE379" s="341"/>
      <c r="AF379" s="341"/>
      <c r="AJ379" s="341"/>
      <c r="AK379" s="341"/>
      <c r="AL379" s="341"/>
      <c r="AM379" s="341"/>
      <c r="AN379" s="341"/>
    </row>
  </sheetData>
  <sheetProtection/>
  <printOptions/>
  <pageMargins left="1" right="1" top="1" bottom="1" header="0.5" footer="0.5"/>
  <pageSetup fitToHeight="4" fitToWidth="1" horizontalDpi="300" verticalDpi="300" orientation="landscape" scale="39" r:id="rId1"/>
  <headerFooter alignWithMargins="0">
    <oddFooter>&amp;R&amp;8Dairy Management at Virginia Tech
Dr. M. L. McGilliard
[&amp;F], Rev. 9/13/10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="90" zoomScaleNormal="90" zoomScalePageLayoutView="0" workbookViewId="0" topLeftCell="A36">
      <selection activeCell="A18" sqref="A18"/>
    </sheetView>
  </sheetViews>
  <sheetFormatPr defaultColWidth="9.140625" defaultRowHeight="12.75"/>
  <cols>
    <col min="1" max="1" width="3.7109375" style="0" customWidth="1"/>
    <col min="2" max="2" width="28.00390625" style="0" customWidth="1"/>
    <col min="3" max="3" width="9.57421875" style="0" bestFit="1" customWidth="1"/>
    <col min="4" max="4" width="11.421875" style="0" customWidth="1"/>
    <col min="5" max="9" width="14.140625" style="0" customWidth="1"/>
  </cols>
  <sheetData>
    <row r="1" spans="1:3" ht="18">
      <c r="A1" s="120" t="s">
        <v>101</v>
      </c>
      <c r="C1" s="268" t="s">
        <v>197</v>
      </c>
    </row>
    <row r="2" ht="12.75">
      <c r="B2" s="31"/>
    </row>
    <row r="3" spans="1:9" ht="15.75">
      <c r="A3" s="124" t="s">
        <v>29</v>
      </c>
      <c r="B3" s="56"/>
      <c r="C3" s="60" t="s">
        <v>54</v>
      </c>
      <c r="D3" s="60" t="s">
        <v>53</v>
      </c>
      <c r="E3" s="76">
        <f>'CF-5'!G13</f>
        <v>2013</v>
      </c>
      <c r="F3" s="76">
        <f>E3+1</f>
        <v>2014</v>
      </c>
      <c r="G3" s="76">
        <f>F3+1</f>
        <v>2015</v>
      </c>
      <c r="H3" s="76">
        <f>G3+1</f>
        <v>2016</v>
      </c>
      <c r="I3" s="76">
        <f>H3+1</f>
        <v>2017</v>
      </c>
    </row>
    <row r="4" spans="1:9" ht="12.75">
      <c r="A4" s="33" t="s">
        <v>55</v>
      </c>
      <c r="B4" s="34"/>
      <c r="C4" s="68">
        <f>'CF-5'!C14</f>
        <v>217175</v>
      </c>
      <c r="D4" s="121">
        <f>'CF-5'!D14</f>
        <v>18</v>
      </c>
      <c r="E4" s="68">
        <f>'CF-5'!G14</f>
        <v>3909150</v>
      </c>
      <c r="F4" s="85">
        <f>'CF-5'!H14</f>
        <v>3909150</v>
      </c>
      <c r="G4" s="85">
        <f>'CF-5'!I14</f>
        <v>3909150</v>
      </c>
      <c r="H4" s="85">
        <f>'CF-5'!J14</f>
        <v>3909150</v>
      </c>
      <c r="I4" s="80">
        <f>'CF-5'!K14</f>
        <v>3909150</v>
      </c>
    </row>
    <row r="5" spans="1:9" ht="12.75">
      <c r="A5" s="33" t="s">
        <v>56</v>
      </c>
      <c r="B5" s="34"/>
      <c r="C5" s="68">
        <f>'CF-5'!C15</f>
        <v>300</v>
      </c>
      <c r="D5" s="68">
        <f>'CF-5'!D15</f>
        <v>400</v>
      </c>
      <c r="E5" s="68">
        <f>'CF-5'!G15</f>
        <v>120000</v>
      </c>
      <c r="F5" s="85">
        <f>'CF-5'!H15</f>
        <v>120000</v>
      </c>
      <c r="G5" s="85">
        <f>'CF-5'!I15</f>
        <v>120000</v>
      </c>
      <c r="H5" s="85">
        <f>'CF-5'!J15</f>
        <v>120000</v>
      </c>
      <c r="I5" s="68">
        <f>'CF-5'!K15</f>
        <v>120000</v>
      </c>
    </row>
    <row r="6" spans="1:9" ht="12.75">
      <c r="A6" s="33" t="s">
        <v>57</v>
      </c>
      <c r="B6" s="34"/>
      <c r="C6" s="68">
        <f>'CF-5'!C16</f>
        <v>500.9333333333333</v>
      </c>
      <c r="D6" s="68">
        <f>'CF-5'!D16</f>
        <v>50</v>
      </c>
      <c r="E6" s="68">
        <f>'CF-5'!G16</f>
        <v>25046.666666666664</v>
      </c>
      <c r="F6" s="85">
        <f>'CF-5'!H16</f>
        <v>25046.666666666664</v>
      </c>
      <c r="G6" s="85">
        <f>'CF-5'!I16</f>
        <v>25046.666666666664</v>
      </c>
      <c r="H6" s="85">
        <f>'CF-5'!J16</f>
        <v>25046.666666666664</v>
      </c>
      <c r="I6" s="68">
        <f>'CF-5'!K16</f>
        <v>25046.666666666664</v>
      </c>
    </row>
    <row r="7" spans="1:9" ht="12.75">
      <c r="A7" s="33" t="s">
        <v>58</v>
      </c>
      <c r="B7" s="34"/>
      <c r="C7" s="68">
        <f>'CF-5'!C17</f>
        <v>481.2888888888889</v>
      </c>
      <c r="D7" s="68">
        <f>'CF-5'!D17</f>
        <v>150</v>
      </c>
      <c r="E7" s="68">
        <f>'CF-5'!G17</f>
        <v>72193.33333333333</v>
      </c>
      <c r="F7" s="85">
        <f>'CF-5'!H17</f>
        <v>72193.33333333333</v>
      </c>
      <c r="G7" s="85">
        <f>'CF-5'!I17</f>
        <v>72193.33333333333</v>
      </c>
      <c r="H7" s="85">
        <f>'CF-5'!J17</f>
        <v>72193.33333333333</v>
      </c>
      <c r="I7" s="68">
        <f>'CF-5'!K17</f>
        <v>72193.33333333333</v>
      </c>
    </row>
    <row r="8" spans="1:9" ht="12.75">
      <c r="A8" s="48" t="s">
        <v>60</v>
      </c>
      <c r="B8" s="34"/>
      <c r="C8" s="68">
        <f>'CF-5'!C18</f>
        <v>0</v>
      </c>
      <c r="D8" s="68">
        <f>'CF-5'!D18</f>
        <v>0</v>
      </c>
      <c r="E8" s="68">
        <f>'CF-5'!G18</f>
        <v>0</v>
      </c>
      <c r="F8" s="85">
        <f>'CF-5'!H18</f>
        <v>0</v>
      </c>
      <c r="G8" s="85">
        <f>'CF-5'!I18</f>
        <v>0</v>
      </c>
      <c r="H8" s="85">
        <f>'CF-5'!J18</f>
        <v>0</v>
      </c>
      <c r="I8" s="68">
        <f>'CF-5'!K18</f>
        <v>0</v>
      </c>
    </row>
    <row r="9" spans="1:9" ht="12.75">
      <c r="A9" s="48" t="s">
        <v>62</v>
      </c>
      <c r="B9" s="34"/>
      <c r="C9" s="68">
        <f>'CF-5'!C19</f>
        <v>0</v>
      </c>
      <c r="D9" s="68">
        <f>'CF-5'!D19</f>
        <v>0</v>
      </c>
      <c r="E9" s="68">
        <f>'CF-5'!G19</f>
        <v>0</v>
      </c>
      <c r="F9" s="85">
        <f>'CF-5'!H19</f>
        <v>0</v>
      </c>
      <c r="G9" s="85">
        <f>'CF-5'!I19</f>
        <v>0</v>
      </c>
      <c r="H9" s="85">
        <f>'CF-5'!J19</f>
        <v>0</v>
      </c>
      <c r="I9" s="68">
        <f>'CF-5'!K19</f>
        <v>0</v>
      </c>
    </row>
    <row r="10" spans="1:9" ht="12.75">
      <c r="A10" s="20" t="s">
        <v>61</v>
      </c>
      <c r="B10" s="99"/>
      <c r="C10" s="81">
        <f>'CF-5'!C20</f>
        <v>0</v>
      </c>
      <c r="D10" s="81">
        <f>'CF-5'!D20</f>
        <v>0</v>
      </c>
      <c r="E10" s="81">
        <f>'CF-5'!G20</f>
        <v>0</v>
      </c>
      <c r="F10" s="85">
        <f>'CF-5'!H20</f>
        <v>0</v>
      </c>
      <c r="G10" s="85">
        <f>'CF-5'!I20</f>
        <v>0</v>
      </c>
      <c r="H10" s="85">
        <f>'CF-5'!J20</f>
        <v>0</v>
      </c>
      <c r="I10" s="81">
        <f>'CF-5'!K20</f>
        <v>0</v>
      </c>
    </row>
    <row r="11" spans="1:9" ht="13.5" thickBot="1">
      <c r="A11" s="136"/>
      <c r="B11" s="137" t="s">
        <v>30</v>
      </c>
      <c r="C11" s="138"/>
      <c r="D11" s="138"/>
      <c r="E11" s="139">
        <f>SUM(E4:E10)</f>
        <v>4126390</v>
      </c>
      <c r="F11" s="140">
        <f>SUM(F4:F10)</f>
        <v>4126390</v>
      </c>
      <c r="G11" s="140">
        <f>SUM(G4:G10)</f>
        <v>4126390</v>
      </c>
      <c r="H11" s="140">
        <f>SUM(H4:H10)</f>
        <v>4126390</v>
      </c>
      <c r="I11" s="141">
        <f>SUM(I4:I10)</f>
        <v>4126390</v>
      </c>
    </row>
    <row r="12" spans="1:9" ht="13.5" thickTop="1">
      <c r="A12" s="36"/>
      <c r="B12" s="135"/>
      <c r="C12" s="57"/>
      <c r="D12" s="57"/>
      <c r="E12" s="47"/>
      <c r="F12" s="8"/>
      <c r="G12" s="8"/>
      <c r="H12" s="8"/>
      <c r="I12" s="8"/>
    </row>
    <row r="13" spans="1:9" ht="15.75">
      <c r="A13" s="124" t="s">
        <v>41</v>
      </c>
      <c r="B13" s="56"/>
      <c r="C13" s="91" t="str">
        <f aca="true" t="shared" si="0" ref="C13:I13">C3</f>
        <v>Quantity</v>
      </c>
      <c r="D13" s="91" t="str">
        <f t="shared" si="0"/>
        <v>Price</v>
      </c>
      <c r="E13" s="86">
        <f t="shared" si="0"/>
        <v>2013</v>
      </c>
      <c r="F13" s="86">
        <f t="shared" si="0"/>
        <v>2014</v>
      </c>
      <c r="G13" s="86">
        <f t="shared" si="0"/>
        <v>2015</v>
      </c>
      <c r="H13" s="86">
        <f t="shared" si="0"/>
        <v>2016</v>
      </c>
      <c r="I13" s="86">
        <f t="shared" si="0"/>
        <v>2017</v>
      </c>
    </row>
    <row r="14" spans="1:9" ht="12.75">
      <c r="A14" s="33" t="s">
        <v>98</v>
      </c>
      <c r="C14" s="87"/>
      <c r="D14" s="87"/>
      <c r="E14" s="74"/>
      <c r="F14" s="74"/>
      <c r="G14" s="74"/>
      <c r="H14" s="74"/>
      <c r="I14" s="74"/>
    </row>
    <row r="15" spans="1:9" ht="12.75">
      <c r="A15" s="48"/>
      <c r="B15" s="39" t="s">
        <v>92</v>
      </c>
      <c r="C15" s="88">
        <f>'CF-5'!C40</f>
        <v>850</v>
      </c>
      <c r="D15" s="89">
        <f>'CF-5'!D40</f>
        <v>5.25</v>
      </c>
      <c r="E15" s="90">
        <f>'CF-5'!G40</f>
        <v>1628812.5</v>
      </c>
      <c r="F15" s="90">
        <f>'CF-5'!H40</f>
        <v>1628812.5</v>
      </c>
      <c r="G15" s="90">
        <f>'CF-5'!I40</f>
        <v>1628812.5</v>
      </c>
      <c r="H15" s="90">
        <f>'CF-5'!J40</f>
        <v>1628812.5</v>
      </c>
      <c r="I15" s="90">
        <f>'CF-5'!K40</f>
        <v>1628812.5</v>
      </c>
    </row>
    <row r="16" spans="1:9" ht="12.75">
      <c r="A16" s="33"/>
      <c r="B16" s="39" t="s">
        <v>93</v>
      </c>
      <c r="C16" s="88">
        <f>'CF-5'!C41</f>
        <v>150.00000000000003</v>
      </c>
      <c r="D16" s="89">
        <f>'CF-5'!D41</f>
        <v>1.9600000000000002</v>
      </c>
      <c r="E16" s="90">
        <f>'CF-5'!G41</f>
        <v>107310.00000000001</v>
      </c>
      <c r="F16" s="90">
        <f>'CF-5'!H41</f>
        <v>107310.00000000003</v>
      </c>
      <c r="G16" s="90">
        <f>'CF-5'!I41</f>
        <v>107310.00000000003</v>
      </c>
      <c r="H16" s="90">
        <f>'CF-5'!J41</f>
        <v>107310.00000000003</v>
      </c>
      <c r="I16" s="90">
        <f>'CF-5'!K41</f>
        <v>107310.00000000003</v>
      </c>
    </row>
    <row r="17" spans="1:9" ht="12.75">
      <c r="A17" s="33"/>
      <c r="B17" s="39" t="s">
        <v>94</v>
      </c>
      <c r="C17" s="88">
        <f>'CF-5'!C42</f>
        <v>34.61538461538461</v>
      </c>
      <c r="D17" s="89">
        <f>'CF-5'!D42</f>
        <v>1.8200000000000003</v>
      </c>
      <c r="E17" s="90">
        <f>'CF-5'!G42</f>
        <v>22995.000000000004</v>
      </c>
      <c r="F17" s="90">
        <f>'CF-5'!H42</f>
        <v>22995</v>
      </c>
      <c r="G17" s="90">
        <f>'CF-5'!I42</f>
        <v>22995</v>
      </c>
      <c r="H17" s="90">
        <f>'CF-5'!J42</f>
        <v>22995</v>
      </c>
      <c r="I17" s="90">
        <f>'CF-5'!K42</f>
        <v>22995</v>
      </c>
    </row>
    <row r="18" spans="1:9" ht="12.75">
      <c r="A18" s="33"/>
      <c r="B18" s="311" t="str">
        <f>'CF-5'!B43</f>
        <v>Feed shrink and waste</v>
      </c>
      <c r="C18" s="311">
        <f>'CF-5'!C43</f>
        <v>0</v>
      </c>
      <c r="D18" s="310">
        <f>'CF-5'!D43</f>
        <v>0.1</v>
      </c>
      <c r="E18" s="90">
        <f>'CF-5'!G43</f>
        <v>175911.75</v>
      </c>
      <c r="F18" s="90">
        <f>'CF-5'!H43</f>
        <v>175911.75</v>
      </c>
      <c r="G18" s="90">
        <f>'CF-5'!I43</f>
        <v>175911.75</v>
      </c>
      <c r="H18" s="90">
        <f>'CF-5'!J43</f>
        <v>175911.75</v>
      </c>
      <c r="I18" s="90">
        <f>'CF-5'!K43</f>
        <v>175911.75</v>
      </c>
    </row>
    <row r="19" spans="1:9" ht="12.75">
      <c r="A19" s="33" t="s">
        <v>59</v>
      </c>
      <c r="B19" s="39"/>
      <c r="C19" s="88">
        <f>'CF-5'!C45</f>
        <v>10</v>
      </c>
      <c r="D19" s="90">
        <f>'CF-5'!D45</f>
        <v>25000</v>
      </c>
      <c r="E19" s="90">
        <f>'CF-5'!G45</f>
        <v>250000</v>
      </c>
      <c r="F19" s="90">
        <f>'CF-5'!H45</f>
        <v>250000</v>
      </c>
      <c r="G19" s="90">
        <f>'CF-5'!I45</f>
        <v>250000</v>
      </c>
      <c r="H19" s="90">
        <f>'CF-5'!J45</f>
        <v>250000</v>
      </c>
      <c r="I19" s="90">
        <f>'CF-5'!K45</f>
        <v>250000</v>
      </c>
    </row>
    <row r="20" spans="1:9" ht="12.75">
      <c r="A20" s="33" t="s">
        <v>42</v>
      </c>
      <c r="B20" s="39"/>
      <c r="C20" s="64"/>
      <c r="D20" s="89"/>
      <c r="E20" s="90">
        <f>'CF-5'!G46</f>
        <v>12446.71824550905</v>
      </c>
      <c r="F20" s="90">
        <f>'CF-5'!H46</f>
        <v>12322.759655798462</v>
      </c>
      <c r="G20" s="90">
        <f>'CF-5'!I46</f>
        <v>12185.82098192358</v>
      </c>
      <c r="H20" s="90">
        <f>'CF-5'!J46</f>
        <v>12034.543039455912</v>
      </c>
      <c r="I20" s="90">
        <f>'CF-5'!K46</f>
        <v>11867.424319596263</v>
      </c>
    </row>
    <row r="21" spans="1:9" ht="12.75">
      <c r="A21" s="48" t="s">
        <v>72</v>
      </c>
      <c r="B21" s="39"/>
      <c r="C21" s="88">
        <f>C4</f>
        <v>217175</v>
      </c>
      <c r="D21" s="89">
        <f>'CF-5'!D47</f>
        <v>0.2</v>
      </c>
      <c r="E21" s="90">
        <f>'CF-5'!G47</f>
        <v>43435</v>
      </c>
      <c r="F21" s="90">
        <f>'CF-5'!H47</f>
        <v>43435</v>
      </c>
      <c r="G21" s="90">
        <f>'CF-5'!I47</f>
        <v>43435</v>
      </c>
      <c r="H21" s="90">
        <f>'CF-5'!J47</f>
        <v>43435</v>
      </c>
      <c r="I21" s="90">
        <f>'CF-5'!K47</f>
        <v>43435</v>
      </c>
    </row>
    <row r="22" spans="1:9" ht="12.75">
      <c r="A22" s="48" t="s">
        <v>63</v>
      </c>
      <c r="B22" s="39"/>
      <c r="C22" s="88">
        <f>'CF-5'!C48</f>
        <v>1000</v>
      </c>
      <c r="D22" s="90">
        <f>'CF-5'!D48</f>
        <v>25</v>
      </c>
      <c r="E22" s="90">
        <f>'CF-5'!G48</f>
        <v>25000</v>
      </c>
      <c r="F22" s="90">
        <f>'CF-5'!H48</f>
        <v>25000</v>
      </c>
      <c r="G22" s="90">
        <f>'CF-5'!I48</f>
        <v>25000</v>
      </c>
      <c r="H22" s="90">
        <f>'CF-5'!J48</f>
        <v>25000</v>
      </c>
      <c r="I22" s="90">
        <f>'CF-5'!K48</f>
        <v>25000</v>
      </c>
    </row>
    <row r="23" spans="1:9" ht="12.75">
      <c r="A23" s="48" t="s">
        <v>99</v>
      </c>
      <c r="B23" s="39"/>
      <c r="C23" s="88">
        <f>'CF-5'!C49</f>
        <v>1000</v>
      </c>
      <c r="D23" s="90">
        <f>'CF-5'!D49</f>
        <v>100</v>
      </c>
      <c r="E23" s="90">
        <f>'CF-5'!G49</f>
        <v>100000</v>
      </c>
      <c r="F23" s="90">
        <f>'CF-5'!H49</f>
        <v>100000</v>
      </c>
      <c r="G23" s="90">
        <f>'CF-5'!I49</f>
        <v>100000</v>
      </c>
      <c r="H23" s="90">
        <f>'CF-5'!J49</f>
        <v>100000</v>
      </c>
      <c r="I23" s="90">
        <f>'CF-5'!K49</f>
        <v>100000</v>
      </c>
    </row>
    <row r="24" spans="1:9" ht="12.75">
      <c r="A24" s="48" t="s">
        <v>96</v>
      </c>
      <c r="B24" s="39"/>
      <c r="C24" s="88">
        <f>'CF-5'!C50</f>
        <v>1000</v>
      </c>
      <c r="D24" s="90">
        <f>'CF-5'!D50</f>
        <v>15</v>
      </c>
      <c r="E24" s="90">
        <f>'CF-5'!G50</f>
        <v>15000</v>
      </c>
      <c r="F24" s="90">
        <f>'CF-5'!H50</f>
        <v>15000</v>
      </c>
      <c r="G24" s="90">
        <f>'CF-5'!I50</f>
        <v>15000</v>
      </c>
      <c r="H24" s="90">
        <f>'CF-5'!J50</f>
        <v>15000</v>
      </c>
      <c r="I24" s="90">
        <f>'CF-5'!K50</f>
        <v>15000</v>
      </c>
    </row>
    <row r="25" spans="1:9" ht="12.75">
      <c r="A25" s="48" t="s">
        <v>64</v>
      </c>
      <c r="B25" s="39"/>
      <c r="C25" s="88">
        <f>'CF-5'!C51</f>
        <v>1000</v>
      </c>
      <c r="D25" s="90">
        <f>'CF-5'!D51</f>
        <v>20</v>
      </c>
      <c r="E25" s="90">
        <f>'CF-5'!G51</f>
        <v>20000</v>
      </c>
      <c r="F25" s="90">
        <f>'CF-5'!H51</f>
        <v>20000</v>
      </c>
      <c r="G25" s="90">
        <f>'CF-5'!I51</f>
        <v>20000</v>
      </c>
      <c r="H25" s="90">
        <f>'CF-5'!J51</f>
        <v>20000</v>
      </c>
      <c r="I25" s="90">
        <f>'CF-5'!K51</f>
        <v>20000</v>
      </c>
    </row>
    <row r="26" spans="1:9" ht="12.75">
      <c r="A26" s="48" t="s">
        <v>65</v>
      </c>
      <c r="B26" s="39"/>
      <c r="C26" s="88">
        <f>'CF-5'!C52</f>
        <v>1000</v>
      </c>
      <c r="D26" s="90">
        <f>'CF-5'!D52</f>
        <v>10</v>
      </c>
      <c r="E26" s="90">
        <f>'CF-5'!G52</f>
        <v>10000</v>
      </c>
      <c r="F26" s="90">
        <f>'CF-5'!H52</f>
        <v>10000</v>
      </c>
      <c r="G26" s="90">
        <f>'CF-5'!I52</f>
        <v>10000</v>
      </c>
      <c r="H26" s="90">
        <f>'CF-5'!J52</f>
        <v>10000</v>
      </c>
      <c r="I26" s="90">
        <f>'CF-5'!K52</f>
        <v>10000</v>
      </c>
    </row>
    <row r="27" spans="1:9" ht="12.75">
      <c r="A27" s="48" t="s">
        <v>73</v>
      </c>
      <c r="B27" s="39"/>
      <c r="C27" s="88">
        <f>C21</f>
        <v>217175</v>
      </c>
      <c r="D27" s="89">
        <f>'CF-5'!D53</f>
        <v>1.5</v>
      </c>
      <c r="E27" s="90">
        <f>'CF-5'!G53</f>
        <v>325762.5</v>
      </c>
      <c r="F27" s="90">
        <f>'CF-5'!H53</f>
        <v>325762.5</v>
      </c>
      <c r="G27" s="90">
        <f>'CF-5'!I53</f>
        <v>325762.5</v>
      </c>
      <c r="H27" s="90">
        <f>'CF-5'!J53</f>
        <v>325762.5</v>
      </c>
      <c r="I27" s="90">
        <f>'CF-5'!K53</f>
        <v>325762.5</v>
      </c>
    </row>
    <row r="28" spans="1:9" ht="12.75">
      <c r="A28" s="48" t="s">
        <v>75</v>
      </c>
      <c r="B28" s="39"/>
      <c r="C28" s="88">
        <f>'CF-5'!C54</f>
        <v>1000</v>
      </c>
      <c r="D28" s="90">
        <f>'CF-5'!D54</f>
        <v>0</v>
      </c>
      <c r="E28" s="90">
        <f>'CF-5'!G54</f>
        <v>0</v>
      </c>
      <c r="F28" s="90">
        <f>'CF-5'!H54</f>
        <v>0</v>
      </c>
      <c r="G28" s="90">
        <f>'CF-5'!I54</f>
        <v>0</v>
      </c>
      <c r="H28" s="90">
        <f>'CF-5'!J54</f>
        <v>0</v>
      </c>
      <c r="I28" s="90">
        <f>'CF-5'!K54</f>
        <v>0</v>
      </c>
    </row>
    <row r="29" spans="1:9" ht="12.75">
      <c r="A29" s="48" t="s">
        <v>66</v>
      </c>
      <c r="B29" s="39"/>
      <c r="C29" s="88">
        <f>'CF-5'!C55</f>
        <v>1000</v>
      </c>
      <c r="D29" s="90">
        <f>'CF-5'!D55</f>
        <v>10</v>
      </c>
      <c r="E29" s="90">
        <f>'CF-5'!G55</f>
        <v>10000</v>
      </c>
      <c r="F29" s="90">
        <f>'CF-5'!H55</f>
        <v>10000</v>
      </c>
      <c r="G29" s="90">
        <f>'CF-5'!I55</f>
        <v>10000</v>
      </c>
      <c r="H29" s="90">
        <f>'CF-5'!J55</f>
        <v>10000</v>
      </c>
      <c r="I29" s="90">
        <f>'CF-5'!K55</f>
        <v>10000</v>
      </c>
    </row>
    <row r="30" spans="1:9" ht="12.75">
      <c r="A30" s="48" t="s">
        <v>67</v>
      </c>
      <c r="B30" s="39"/>
      <c r="C30" s="88">
        <f>'CF-5'!C56</f>
        <v>1000</v>
      </c>
      <c r="D30" s="90">
        <f>'CF-5'!D56</f>
        <v>0</v>
      </c>
      <c r="E30" s="90">
        <f>'CF-5'!G56</f>
        <v>0</v>
      </c>
      <c r="F30" s="90">
        <f>'CF-5'!H56</f>
        <v>0</v>
      </c>
      <c r="G30" s="90">
        <f>'CF-5'!I56</f>
        <v>0</v>
      </c>
      <c r="H30" s="90">
        <f>'CF-5'!J56</f>
        <v>0</v>
      </c>
      <c r="I30" s="90">
        <f>'CF-5'!K56</f>
        <v>0</v>
      </c>
    </row>
    <row r="31" spans="1:9" ht="12.75">
      <c r="A31" s="48" t="s">
        <v>68</v>
      </c>
      <c r="B31" s="39"/>
      <c r="C31" s="88">
        <f>'CF-5'!C57</f>
        <v>1000</v>
      </c>
      <c r="D31" s="90">
        <f>'CF-5'!D57</f>
        <v>90</v>
      </c>
      <c r="E31" s="90">
        <f>'CF-5'!G57</f>
        <v>90000</v>
      </c>
      <c r="F31" s="90">
        <f>'CF-5'!H57</f>
        <v>90000</v>
      </c>
      <c r="G31" s="90">
        <f>'CF-5'!I57</f>
        <v>90000</v>
      </c>
      <c r="H31" s="90">
        <f>'CF-5'!J57</f>
        <v>90000</v>
      </c>
      <c r="I31" s="90">
        <f>'CF-5'!K57</f>
        <v>90000</v>
      </c>
    </row>
    <row r="32" spans="1:9" ht="12.75">
      <c r="A32" s="48" t="s">
        <v>69</v>
      </c>
      <c r="B32" s="39"/>
      <c r="C32" s="88">
        <f>'CF-5'!C58</f>
        <v>1000</v>
      </c>
      <c r="D32" s="90">
        <f>'CF-5'!D58</f>
        <v>100</v>
      </c>
      <c r="E32" s="90">
        <f>'CF-5'!G58</f>
        <v>100000</v>
      </c>
      <c r="F32" s="90">
        <f>'CF-5'!H58</f>
        <v>100000</v>
      </c>
      <c r="G32" s="90">
        <f>'CF-5'!I58</f>
        <v>100000</v>
      </c>
      <c r="H32" s="90">
        <f>'CF-5'!J58</f>
        <v>100000</v>
      </c>
      <c r="I32" s="90">
        <f>'CF-5'!K58</f>
        <v>100000</v>
      </c>
    </row>
    <row r="33" spans="1:9" ht="12.75">
      <c r="A33" s="48" t="s">
        <v>70</v>
      </c>
      <c r="B33" s="39"/>
      <c r="C33" s="88">
        <f>'CF-5'!C59</f>
        <v>1000</v>
      </c>
      <c r="D33" s="90">
        <f>'CF-5'!D59</f>
        <v>80</v>
      </c>
      <c r="E33" s="90">
        <f>'CF-5'!G59</f>
        <v>80000</v>
      </c>
      <c r="F33" s="90">
        <f>'CF-5'!H59</f>
        <v>80000</v>
      </c>
      <c r="G33" s="90">
        <f>'CF-5'!I59</f>
        <v>80000</v>
      </c>
      <c r="H33" s="90">
        <f>'CF-5'!J59</f>
        <v>80000</v>
      </c>
      <c r="I33" s="90">
        <f>'CF-5'!K59</f>
        <v>80000</v>
      </c>
    </row>
    <row r="34" spans="1:9" ht="12.75">
      <c r="A34" s="48" t="s">
        <v>74</v>
      </c>
      <c r="B34" s="46"/>
      <c r="C34" s="88">
        <f>'CF-5'!C60</f>
        <v>1000</v>
      </c>
      <c r="D34" s="90">
        <f>'CF-5'!D60</f>
        <v>80</v>
      </c>
      <c r="E34" s="90">
        <f>'CF-5'!G60</f>
        <v>80000</v>
      </c>
      <c r="F34" s="90">
        <f>'CF-5'!H60</f>
        <v>80000</v>
      </c>
      <c r="G34" s="90">
        <f>'CF-5'!I60</f>
        <v>80000</v>
      </c>
      <c r="H34" s="90">
        <f>'CF-5'!J60</f>
        <v>80000</v>
      </c>
      <c r="I34" s="90">
        <f>'CF-5'!K60</f>
        <v>80000</v>
      </c>
    </row>
    <row r="35" spans="1:9" ht="12.75">
      <c r="A35" s="20" t="s">
        <v>71</v>
      </c>
      <c r="B35" s="92"/>
      <c r="C35" s="103">
        <f>'CF-5'!C61</f>
        <v>1000</v>
      </c>
      <c r="D35" s="132">
        <f>'CF-5'!D61</f>
        <v>80</v>
      </c>
      <c r="E35" s="132">
        <f>'CF-5'!G61</f>
        <v>80000</v>
      </c>
      <c r="F35" s="132">
        <f>'CF-5'!H61</f>
        <v>80000</v>
      </c>
      <c r="G35" s="132">
        <f>'CF-5'!I61</f>
        <v>80000</v>
      </c>
      <c r="H35" s="132">
        <f>'CF-5'!J61</f>
        <v>80000</v>
      </c>
      <c r="I35" s="132">
        <f>'CF-5'!K61</f>
        <v>80000</v>
      </c>
    </row>
    <row r="36" spans="1:9" ht="13.5" thickBot="1">
      <c r="A36" s="136"/>
      <c r="B36" s="143" t="s">
        <v>43</v>
      </c>
      <c r="C36" s="138"/>
      <c r="D36" s="138"/>
      <c r="E36" s="141">
        <f>SUM(E14:E35)</f>
        <v>3176673.468245509</v>
      </c>
      <c r="F36" s="141">
        <f>SUM(F14:F35)</f>
        <v>3176549.5096557983</v>
      </c>
      <c r="G36" s="141">
        <f>SUM(G14:G35)</f>
        <v>3176412.5709819235</v>
      </c>
      <c r="H36" s="141">
        <f>SUM(H14:H35)</f>
        <v>3176261.293039456</v>
      </c>
      <c r="I36" s="141">
        <f>SUM(I14:I35)</f>
        <v>3176094.174319596</v>
      </c>
    </row>
    <row r="37" spans="1:9" s="17" customFormat="1" ht="17.25" thickBot="1" thickTop="1">
      <c r="A37" s="213" t="s">
        <v>102</v>
      </c>
      <c r="B37" s="214"/>
      <c r="C37" s="215"/>
      <c r="D37" s="215"/>
      <c r="E37" s="216">
        <f>E11-E36</f>
        <v>949716.5317544909</v>
      </c>
      <c r="F37" s="216">
        <f>F11-F36</f>
        <v>949840.4903442017</v>
      </c>
      <c r="G37" s="216">
        <f>G11-G36</f>
        <v>949977.4290180765</v>
      </c>
      <c r="H37" s="216">
        <f>H11-H36</f>
        <v>950128.706960544</v>
      </c>
      <c r="I37" s="217">
        <f>I11-I36</f>
        <v>950295.825680404</v>
      </c>
    </row>
    <row r="38" spans="1:9" ht="13.5" thickTop="1">
      <c r="A38" s="190"/>
      <c r="B38" s="191"/>
      <c r="C38" s="146"/>
      <c r="D38" s="146"/>
      <c r="E38" s="147"/>
      <c r="F38" s="147"/>
      <c r="G38" s="147"/>
      <c r="H38" s="147"/>
      <c r="I38" s="147"/>
    </row>
    <row r="39" spans="1:9" ht="15.75">
      <c r="A39" s="198" t="s">
        <v>103</v>
      </c>
      <c r="B39" s="195"/>
      <c r="C39" s="196"/>
      <c r="D39" s="196"/>
      <c r="E39" s="197"/>
      <c r="F39" s="197"/>
      <c r="G39" s="197"/>
      <c r="H39" s="197"/>
      <c r="I39" s="188"/>
    </row>
    <row r="40" spans="1:9" ht="12.75">
      <c r="A40" s="192" t="s">
        <v>104</v>
      </c>
      <c r="B40" s="156"/>
      <c r="C40" s="157"/>
      <c r="D40" s="193"/>
      <c r="E40" s="194"/>
      <c r="F40" s="194"/>
      <c r="G40" s="194"/>
      <c r="H40" s="194"/>
      <c r="I40" s="194"/>
    </row>
    <row r="41" spans="1:9" ht="12.75">
      <c r="A41" s="162"/>
      <c r="B41" s="144" t="s">
        <v>105</v>
      </c>
      <c r="C41" s="142"/>
      <c r="D41" s="168"/>
      <c r="E41" s="181">
        <v>0</v>
      </c>
      <c r="F41" s="181">
        <v>0</v>
      </c>
      <c r="G41" s="181">
        <v>0</v>
      </c>
      <c r="H41" s="181">
        <v>0</v>
      </c>
      <c r="I41" s="181">
        <v>0</v>
      </c>
    </row>
    <row r="42" spans="1:9" ht="12.75">
      <c r="A42" s="133"/>
      <c r="B42" s="145" t="s">
        <v>106</v>
      </c>
      <c r="C42" s="134"/>
      <c r="D42" s="169"/>
      <c r="E42" s="182">
        <v>0</v>
      </c>
      <c r="F42" s="182">
        <v>0</v>
      </c>
      <c r="G42" s="182">
        <v>0</v>
      </c>
      <c r="H42" s="182">
        <v>0</v>
      </c>
      <c r="I42" s="182">
        <v>0</v>
      </c>
    </row>
    <row r="43" spans="1:9" ht="13.5" thickBot="1">
      <c r="A43" s="136"/>
      <c r="B43" s="154" t="s">
        <v>112</v>
      </c>
      <c r="C43" s="155"/>
      <c r="D43" s="171"/>
      <c r="E43" s="183">
        <f>E41-E42</f>
        <v>0</v>
      </c>
      <c r="F43" s="183">
        <f>F41-F42</f>
        <v>0</v>
      </c>
      <c r="G43" s="183">
        <f>G41-G42</f>
        <v>0</v>
      </c>
      <c r="H43" s="183">
        <f>H41-H42</f>
        <v>0</v>
      </c>
      <c r="I43" s="183">
        <f>I41-I42</f>
        <v>0</v>
      </c>
    </row>
    <row r="44" spans="1:9" ht="13.5" thickTop="1">
      <c r="A44" s="163" t="s">
        <v>113</v>
      </c>
      <c r="B44" s="158"/>
      <c r="C44" s="159"/>
      <c r="D44" s="187"/>
      <c r="E44" s="189"/>
      <c r="F44" s="189"/>
      <c r="G44" s="189"/>
      <c r="H44" s="189"/>
      <c r="I44" s="189"/>
    </row>
    <row r="45" spans="1:9" ht="12.75">
      <c r="A45" s="164"/>
      <c r="B45" s="144" t="s">
        <v>107</v>
      </c>
      <c r="C45" s="144"/>
      <c r="D45" s="170"/>
      <c r="E45" s="180">
        <v>0</v>
      </c>
      <c r="F45" s="180">
        <v>0</v>
      </c>
      <c r="G45" s="180">
        <v>0</v>
      </c>
      <c r="H45" s="180">
        <v>0</v>
      </c>
      <c r="I45" s="180">
        <v>0</v>
      </c>
    </row>
    <row r="46" spans="1:9" ht="12.75">
      <c r="A46" s="164"/>
      <c r="B46" s="144" t="s">
        <v>108</v>
      </c>
      <c r="C46" s="142"/>
      <c r="D46" s="168"/>
      <c r="E46" s="181">
        <v>0</v>
      </c>
      <c r="F46" s="181">
        <v>0</v>
      </c>
      <c r="G46" s="181">
        <v>0</v>
      </c>
      <c r="H46" s="181">
        <v>0</v>
      </c>
      <c r="I46" s="181">
        <v>0</v>
      </c>
    </row>
    <row r="47" spans="1:9" ht="12.75">
      <c r="A47" s="164"/>
      <c r="B47" s="144" t="s">
        <v>109</v>
      </c>
      <c r="C47" s="142"/>
      <c r="D47" s="168"/>
      <c r="E47" s="181">
        <v>0</v>
      </c>
      <c r="F47" s="181">
        <v>0</v>
      </c>
      <c r="G47" s="181">
        <v>0</v>
      </c>
      <c r="H47" s="181">
        <v>0</v>
      </c>
      <c r="I47" s="181">
        <v>0</v>
      </c>
    </row>
    <row r="48" spans="1:9" ht="12.75">
      <c r="A48" s="164"/>
      <c r="B48" s="144" t="s">
        <v>110</v>
      </c>
      <c r="C48" s="142"/>
      <c r="D48" s="168"/>
      <c r="E48" s="181">
        <v>0</v>
      </c>
      <c r="F48" s="181">
        <v>0</v>
      </c>
      <c r="G48" s="181">
        <v>0</v>
      </c>
      <c r="H48" s="181">
        <v>0</v>
      </c>
      <c r="I48" s="181">
        <v>0</v>
      </c>
    </row>
    <row r="49" spans="1:9" ht="12.75">
      <c r="A49" s="165"/>
      <c r="B49" s="145" t="s">
        <v>69</v>
      </c>
      <c r="C49" s="134"/>
      <c r="D49" s="169"/>
      <c r="E49" s="182">
        <v>0</v>
      </c>
      <c r="F49" s="182">
        <v>0</v>
      </c>
      <c r="G49" s="182">
        <v>0</v>
      </c>
      <c r="H49" s="182">
        <v>0</v>
      </c>
      <c r="I49" s="182">
        <v>0</v>
      </c>
    </row>
    <row r="50" spans="1:9" ht="13.5" thickBot="1">
      <c r="A50" s="166"/>
      <c r="B50" s="154" t="s">
        <v>111</v>
      </c>
      <c r="C50" s="155"/>
      <c r="D50" s="171"/>
      <c r="E50" s="183">
        <f>SUM(E45:E49)-SUM(D45:D49)</f>
        <v>0</v>
      </c>
      <c r="F50" s="183">
        <f>SUM(F45:F49)-SUM(E45:E49)</f>
        <v>0</v>
      </c>
      <c r="G50" s="183">
        <f>SUM(G45:G49)-SUM(F45:F49)</f>
        <v>0</v>
      </c>
      <c r="H50" s="183">
        <f>SUM(H45:H49)-SUM(G45:G49)</f>
        <v>0</v>
      </c>
      <c r="I50" s="183">
        <f>SUM(I45:I49)-SUM(H45:H49)</f>
        <v>0</v>
      </c>
    </row>
    <row r="51" spans="1:9" ht="13.5" thickTop="1">
      <c r="A51" s="167" t="s">
        <v>228</v>
      </c>
      <c r="B51" s="160"/>
      <c r="C51" s="161"/>
      <c r="D51" s="172"/>
      <c r="E51" s="184"/>
      <c r="F51" s="184"/>
      <c r="G51" s="184"/>
      <c r="H51" s="184"/>
      <c r="I51" s="184"/>
    </row>
    <row r="52" spans="1:9" ht="12.75">
      <c r="A52" s="164"/>
      <c r="B52" s="144" t="s">
        <v>114</v>
      </c>
      <c r="C52" s="272">
        <f>2/15</f>
        <v>0.13333333333333333</v>
      </c>
      <c r="D52" s="173">
        <f>'CF-5'!G72</f>
        <v>0</v>
      </c>
      <c r="E52" s="173">
        <f>(D52+E56-E60)*(1-$C52)</f>
        <v>0</v>
      </c>
      <c r="F52" s="173">
        <f aca="true" t="shared" si="1" ref="F52:I53">(E52+F56-F60)*(1-$C52)</f>
        <v>0</v>
      </c>
      <c r="G52" s="173">
        <f t="shared" si="1"/>
        <v>0</v>
      </c>
      <c r="H52" s="173">
        <f t="shared" si="1"/>
        <v>0</v>
      </c>
      <c r="I52" s="173">
        <f t="shared" si="1"/>
        <v>0</v>
      </c>
    </row>
    <row r="53" spans="1:9" ht="12.75">
      <c r="A53" s="164"/>
      <c r="B53" s="144" t="s">
        <v>115</v>
      </c>
      <c r="C53" s="272">
        <v>0.05</v>
      </c>
      <c r="D53" s="173">
        <f>'CF-5'!G69</f>
        <v>0</v>
      </c>
      <c r="E53" s="173">
        <f>(D53+E57-E61)*(1-$C53)</f>
        <v>0</v>
      </c>
      <c r="F53" s="173">
        <f t="shared" si="1"/>
        <v>0</v>
      </c>
      <c r="G53" s="173">
        <f t="shared" si="1"/>
        <v>0</v>
      </c>
      <c r="H53" s="173">
        <f t="shared" si="1"/>
        <v>0</v>
      </c>
      <c r="I53" s="173">
        <f t="shared" si="1"/>
        <v>0</v>
      </c>
    </row>
    <row r="54" spans="1:9" ht="12.75">
      <c r="A54" s="165"/>
      <c r="B54" s="145" t="s">
        <v>119</v>
      </c>
      <c r="C54" s="273">
        <v>0</v>
      </c>
      <c r="D54" s="174">
        <f>'CF-5'!G70</f>
        <v>0</v>
      </c>
      <c r="E54" s="174">
        <f>SUM('CF-5'!G5:G7)*('CF-5'!$D$68*'CF-5'!$F$68^1)*(1-$C54)</f>
        <v>1448461.5384615383</v>
      </c>
      <c r="F54" s="174">
        <f>SUM('CF-5'!H5:H7)*('CF-5'!$D$68*'CF-5'!$F$68^1)*(1-$C54)</f>
        <v>1448461.5384615383</v>
      </c>
      <c r="G54" s="174">
        <f>SUM('CF-5'!I5:I7)*('CF-5'!$D$68*'CF-5'!$F$68^1)*(1-$C54)</f>
        <v>1448461.5384615383</v>
      </c>
      <c r="H54" s="174">
        <f>SUM('CF-5'!J5:J7)*('CF-5'!$D$68*'CF-5'!$F$68^1)*(1-$C54)</f>
        <v>1448461.5384615383</v>
      </c>
      <c r="I54" s="174">
        <f>SUM('CF-5'!K5:K7)*('CF-5'!$D$68*'CF-5'!$F$68^1)*(1-$C54)</f>
        <v>1448461.5384615383</v>
      </c>
    </row>
    <row r="55" spans="1:9" ht="12.75">
      <c r="A55" s="167" t="s">
        <v>229</v>
      </c>
      <c r="B55" s="160"/>
      <c r="C55" s="161"/>
      <c r="D55" s="172"/>
      <c r="E55" s="184"/>
      <c r="F55" s="184"/>
      <c r="G55" s="184"/>
      <c r="H55" s="184"/>
      <c r="I55" s="184"/>
    </row>
    <row r="56" spans="1:9" ht="12.75">
      <c r="A56" s="164"/>
      <c r="B56" s="144" t="s">
        <v>114</v>
      </c>
      <c r="C56" s="142"/>
      <c r="D56" s="175"/>
      <c r="E56" s="185"/>
      <c r="F56" s="185">
        <f>'CF-5'!H72</f>
        <v>0</v>
      </c>
      <c r="G56" s="185">
        <f>'CF-5'!I72</f>
        <v>0</v>
      </c>
      <c r="H56" s="185">
        <f>'CF-5'!J72</f>
        <v>0</v>
      </c>
      <c r="I56" s="185">
        <f>'CF-5'!K72</f>
        <v>0</v>
      </c>
    </row>
    <row r="57" spans="1:9" ht="12.75">
      <c r="A57" s="164"/>
      <c r="B57" s="144" t="s">
        <v>115</v>
      </c>
      <c r="C57" s="142"/>
      <c r="D57" s="175"/>
      <c r="E57" s="185"/>
      <c r="F57" s="185">
        <f>'CF-5'!H69</f>
        <v>0</v>
      </c>
      <c r="G57" s="185">
        <f>'CF-5'!I69</f>
        <v>0</v>
      </c>
      <c r="H57" s="185">
        <f>'CF-5'!J69</f>
        <v>0</v>
      </c>
      <c r="I57" s="185">
        <f>'CF-5'!K69</f>
        <v>0</v>
      </c>
    </row>
    <row r="58" spans="1:9" ht="12.75">
      <c r="A58" s="165"/>
      <c r="B58" s="145" t="s">
        <v>119</v>
      </c>
      <c r="C58" s="134"/>
      <c r="D58" s="176"/>
      <c r="E58" s="186">
        <f>'CF-5'!G68</f>
        <v>420000</v>
      </c>
      <c r="F58" s="186">
        <f>'CF-5'!H68</f>
        <v>0</v>
      </c>
      <c r="G58" s="186">
        <f>'CF-5'!I68</f>
        <v>0</v>
      </c>
      <c r="H58" s="186">
        <f>'CF-5'!J68</f>
        <v>0</v>
      </c>
      <c r="I58" s="186">
        <f>'CF-5'!K68</f>
        <v>0</v>
      </c>
    </row>
    <row r="59" spans="1:9" ht="12.75">
      <c r="A59" s="167" t="s">
        <v>230</v>
      </c>
      <c r="B59" s="160"/>
      <c r="C59" s="161"/>
      <c r="D59" s="172"/>
      <c r="E59" s="184"/>
      <c r="F59" s="184"/>
      <c r="G59" s="184"/>
      <c r="H59" s="184"/>
      <c r="I59" s="184"/>
    </row>
    <row r="60" spans="1:9" ht="12.75">
      <c r="A60" s="164"/>
      <c r="B60" s="144" t="s">
        <v>114</v>
      </c>
      <c r="C60" s="142"/>
      <c r="D60" s="177"/>
      <c r="E60" s="173">
        <f>'CF-5'!G24</f>
        <v>0</v>
      </c>
      <c r="F60" s="173">
        <f>'CF-5'!H24</f>
        <v>0</v>
      </c>
      <c r="G60" s="173">
        <f>'CF-5'!I24</f>
        <v>0</v>
      </c>
      <c r="H60" s="173">
        <f>'CF-5'!J24</f>
        <v>0</v>
      </c>
      <c r="I60" s="173">
        <f>'CF-5'!K24</f>
        <v>0</v>
      </c>
    </row>
    <row r="61" spans="1:9" ht="12.75">
      <c r="A61" s="164"/>
      <c r="B61" s="144" t="s">
        <v>115</v>
      </c>
      <c r="C61" s="142"/>
      <c r="D61" s="177"/>
      <c r="E61" s="173">
        <v>0</v>
      </c>
      <c r="F61" s="173">
        <v>0</v>
      </c>
      <c r="G61" s="173">
        <v>0</v>
      </c>
      <c r="H61" s="173">
        <v>0</v>
      </c>
      <c r="I61" s="173">
        <v>0</v>
      </c>
    </row>
    <row r="62" spans="1:9" ht="12.75">
      <c r="A62" s="165"/>
      <c r="B62" s="145" t="s">
        <v>119</v>
      </c>
      <c r="C62" s="134"/>
      <c r="D62" s="177"/>
      <c r="E62" s="174">
        <f>'CF-5'!G23</f>
        <v>0</v>
      </c>
      <c r="F62" s="174">
        <f>'CF-5'!H23</f>
        <v>0</v>
      </c>
      <c r="G62" s="174">
        <f>'CF-5'!I23</f>
        <v>0</v>
      </c>
      <c r="H62" s="174">
        <f>'CF-5'!J23</f>
        <v>0</v>
      </c>
      <c r="I62" s="174">
        <f>'CF-5'!K23</f>
        <v>0</v>
      </c>
    </row>
    <row r="63" spans="1:9" ht="13.5" thickBot="1">
      <c r="A63" s="136"/>
      <c r="B63" s="154" t="s">
        <v>116</v>
      </c>
      <c r="C63" s="155"/>
      <c r="D63" s="171"/>
      <c r="E63" s="183">
        <f>SUM(E52:E54)-SUM(D52:D54)+SUM(E60:E62)-SUM(E56:E58)</f>
        <v>1028461.5384615383</v>
      </c>
      <c r="F63" s="183">
        <f>SUM(F52:F54)-SUM(E52:E54)+SUM(F60:F62)-SUM(F56:F58)</f>
        <v>0</v>
      </c>
      <c r="G63" s="183">
        <f>SUM(G52:G54)-SUM(F52:F54)+SUM(G60:G62)-SUM(G56:G58)</f>
        <v>0</v>
      </c>
      <c r="H63" s="183">
        <f>SUM(H52:H54)-SUM(G52:G54)+SUM(H60:H62)-SUM(H56:H58)</f>
        <v>0</v>
      </c>
      <c r="I63" s="183">
        <f>SUM(I52:I54)-SUM(H52:H54)+SUM(I60:I62)-SUM(I56:I58)</f>
        <v>0</v>
      </c>
    </row>
    <row r="64" spans="1:9" ht="13.5" thickTop="1">
      <c r="A64" s="148"/>
      <c r="B64" s="148"/>
      <c r="C64" s="148"/>
      <c r="D64" s="148"/>
      <c r="E64" s="148"/>
      <c r="F64" s="148"/>
      <c r="G64" s="148"/>
      <c r="H64" s="148"/>
      <c r="I64" s="148"/>
    </row>
    <row r="65" spans="1:9" ht="13.5" thickBot="1">
      <c r="A65" s="199" t="s">
        <v>117</v>
      </c>
      <c r="B65" s="149"/>
      <c r="C65" s="149"/>
      <c r="D65" s="178"/>
      <c r="E65" s="152">
        <f>E43+E50+E63</f>
        <v>1028461.5384615383</v>
      </c>
      <c r="F65" s="152">
        <f>F43+F50+F63</f>
        <v>0</v>
      </c>
      <c r="G65" s="152">
        <f>G43+G50+G63</f>
        <v>0</v>
      </c>
      <c r="H65" s="152">
        <f>H43+H50+H63</f>
        <v>0</v>
      </c>
      <c r="I65" s="152">
        <f>I43+I50+I63</f>
        <v>0</v>
      </c>
    </row>
    <row r="66" spans="1:9" ht="16.5" thickBot="1" thickTop="1">
      <c r="A66" s="151" t="s">
        <v>118</v>
      </c>
      <c r="B66" s="150"/>
      <c r="C66" s="150"/>
      <c r="D66" s="179"/>
      <c r="E66" s="153">
        <f>E37+E65</f>
        <v>1978178.0702160292</v>
      </c>
      <c r="F66" s="153">
        <f>F37+F65</f>
        <v>949840.4903442017</v>
      </c>
      <c r="G66" s="153">
        <f>G37+G65</f>
        <v>949977.4290180765</v>
      </c>
      <c r="H66" s="153">
        <f>H37+H65</f>
        <v>950128.706960544</v>
      </c>
      <c r="I66" s="153">
        <f>I37+I65</f>
        <v>950295.825680404</v>
      </c>
    </row>
    <row r="67" ht="13.5" thickTop="1"/>
  </sheetData>
  <sheetProtection/>
  <printOptions horizontalCentered="1"/>
  <pageMargins left="0.75" right="0.75" top="1" bottom="1" header="0.5" footer="0.5"/>
  <pageSetup fitToHeight="1" fitToWidth="1" horizontalDpi="300" verticalDpi="300" orientation="portrait" scale="73" r:id="rId3"/>
  <headerFooter alignWithMargins="0">
    <oddFooter>&amp;R&amp;8Dairy Management at Virginia Tech
M. L. McGilliard
&amp;F, &amp;A, 10/22/02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28.7109375" style="3" customWidth="1"/>
    <col min="2" max="2" width="8.140625" style="3" customWidth="1"/>
    <col min="3" max="7" width="10.140625" style="3" customWidth="1"/>
    <col min="8" max="16384" width="9.140625" style="3" customWidth="1"/>
  </cols>
  <sheetData>
    <row r="1" s="128" customFormat="1" ht="17.25">
      <c r="A1" s="120" t="s">
        <v>193</v>
      </c>
    </row>
    <row r="2" ht="12.75">
      <c r="B2" s="268" t="s">
        <v>194</v>
      </c>
    </row>
    <row r="3" ht="12.75">
      <c r="C3" s="129"/>
    </row>
    <row r="4" spans="1:7" ht="12.75">
      <c r="A4" s="56"/>
      <c r="B4" s="240"/>
      <c r="C4" s="241">
        <f>'CF-5'!G2</f>
        <v>2013</v>
      </c>
      <c r="D4" s="241">
        <f>C4+1</f>
        <v>2014</v>
      </c>
      <c r="E4" s="241">
        <f>D4+1</f>
        <v>2015</v>
      </c>
      <c r="F4" s="241">
        <f>E4+1</f>
        <v>2016</v>
      </c>
      <c r="G4" s="241">
        <f>F4+1</f>
        <v>2017</v>
      </c>
    </row>
    <row r="5" spans="1:7" ht="12.75">
      <c r="A5" s="3" t="s">
        <v>147</v>
      </c>
      <c r="C5" s="226">
        <f>'CF-5'!G5+'CF-5'!G6</f>
        <v>1000</v>
      </c>
      <c r="D5" s="226">
        <f>'CF-5'!H5+'CF-5'!H6</f>
        <v>1000</v>
      </c>
      <c r="E5" s="226">
        <f>'CF-5'!I5+'CF-5'!I6</f>
        <v>1000</v>
      </c>
      <c r="F5" s="226">
        <f>'CF-5'!J5+'CF-5'!J6</f>
        <v>1000</v>
      </c>
      <c r="G5" s="226">
        <f>'CF-5'!K5+'CF-5'!K6</f>
        <v>1000</v>
      </c>
    </row>
    <row r="6" spans="1:7" ht="12.75">
      <c r="A6" s="13" t="s">
        <v>148</v>
      </c>
      <c r="C6" s="226">
        <f>'CF-5'!G3</f>
        <v>70</v>
      </c>
      <c r="D6" s="226">
        <f>'CF-5'!H3</f>
        <v>70</v>
      </c>
      <c r="E6" s="226">
        <f>'CF-5'!I3</f>
        <v>70</v>
      </c>
      <c r="F6" s="226">
        <f>'CF-5'!J3</f>
        <v>70</v>
      </c>
      <c r="G6" s="226">
        <f>'CF-5'!K3</f>
        <v>70</v>
      </c>
    </row>
    <row r="7" spans="1:7" ht="12.75">
      <c r="A7" s="201" t="s">
        <v>149</v>
      </c>
      <c r="B7" s="222"/>
      <c r="C7" s="239">
        <f>'CF-5'!G14/'CF-5'!$D14</f>
        <v>217175</v>
      </c>
      <c r="D7" s="239">
        <f>'CF-5'!H14/'CF-5'!$D14</f>
        <v>217175</v>
      </c>
      <c r="E7" s="239">
        <f>'CF-5'!I14/'CF-5'!$D14</f>
        <v>217175</v>
      </c>
      <c r="F7" s="239">
        <f>'CF-5'!J14/'CF-5'!$D14</f>
        <v>217175</v>
      </c>
      <c r="G7" s="239">
        <f>'CF-5'!K14/'CF-5'!$D14</f>
        <v>217175</v>
      </c>
    </row>
    <row r="8" spans="3:4" ht="12.75">
      <c r="C8" s="131"/>
      <c r="D8" s="13"/>
    </row>
    <row r="9" spans="1:4" ht="15">
      <c r="A9" s="227" t="s">
        <v>143</v>
      </c>
      <c r="C9" s="131"/>
      <c r="D9" s="13"/>
    </row>
    <row r="10" spans="1:7" ht="12.75">
      <c r="A10" s="242" t="s">
        <v>150</v>
      </c>
      <c r="B10" s="240" t="s">
        <v>151</v>
      </c>
      <c r="C10" s="243"/>
      <c r="D10" s="56"/>
      <c r="E10" s="56"/>
      <c r="F10" s="56"/>
      <c r="G10" s="56"/>
    </row>
    <row r="11" spans="1:5" ht="12.75">
      <c r="A11" s="220" t="s">
        <v>120</v>
      </c>
      <c r="B11" s="228" t="e">
        <f aca="true" t="shared" si="0" ref="B11:B25">C11/$C$52*100</f>
        <v>#DIV/0!</v>
      </c>
      <c r="C11" s="131"/>
      <c r="D11" s="131"/>
      <c r="E11" s="131"/>
    </row>
    <row r="12" spans="1:5" ht="12.75">
      <c r="A12" s="220" t="s">
        <v>121</v>
      </c>
      <c r="B12" s="228" t="e">
        <f t="shared" si="0"/>
        <v>#DIV/0!</v>
      </c>
      <c r="C12" s="131"/>
      <c r="D12" s="131"/>
      <c r="E12" s="131"/>
    </row>
    <row r="13" spans="1:5" ht="12.75">
      <c r="A13" s="220" t="s">
        <v>105</v>
      </c>
      <c r="B13" s="228" t="e">
        <f t="shared" si="0"/>
        <v>#DIV/0!</v>
      </c>
      <c r="C13" s="131"/>
      <c r="D13" s="131"/>
      <c r="E13" s="131"/>
    </row>
    <row r="14" spans="1:5" ht="12.75">
      <c r="A14" s="220" t="s">
        <v>122</v>
      </c>
      <c r="B14" s="228" t="e">
        <f t="shared" si="0"/>
        <v>#DIV/0!</v>
      </c>
      <c r="C14" s="131"/>
      <c r="D14" s="131"/>
      <c r="E14" s="131"/>
    </row>
    <row r="15" spans="1:5" ht="12.75">
      <c r="A15" s="220" t="s">
        <v>123</v>
      </c>
      <c r="B15" s="228" t="e">
        <f t="shared" si="0"/>
        <v>#DIV/0!</v>
      </c>
      <c r="C15" s="131"/>
      <c r="D15" s="229"/>
      <c r="E15" s="229"/>
    </row>
    <row r="16" spans="1:5" ht="12.75">
      <c r="A16" s="220" t="s">
        <v>124</v>
      </c>
      <c r="B16" s="228" t="e">
        <f t="shared" si="0"/>
        <v>#DIV/0!</v>
      </c>
      <c r="C16" s="131"/>
      <c r="D16" s="131"/>
      <c r="E16" s="131"/>
    </row>
    <row r="17" spans="1:5" ht="12.75">
      <c r="A17" s="220" t="s">
        <v>152</v>
      </c>
      <c r="B17" s="228" t="e">
        <f t="shared" si="0"/>
        <v>#DIV/0!</v>
      </c>
      <c r="C17" s="131"/>
      <c r="D17" s="131"/>
      <c r="E17" s="131"/>
    </row>
    <row r="18" spans="1:5" ht="12.75">
      <c r="A18" s="220" t="s">
        <v>125</v>
      </c>
      <c r="B18" s="228" t="e">
        <f t="shared" si="0"/>
        <v>#DIV/0!</v>
      </c>
      <c r="C18" s="131"/>
      <c r="D18" s="131"/>
      <c r="E18" s="131"/>
    </row>
    <row r="19" spans="1:5" ht="12.75">
      <c r="A19" s="220" t="s">
        <v>127</v>
      </c>
      <c r="B19" s="228" t="e">
        <f t="shared" si="0"/>
        <v>#DIV/0!</v>
      </c>
      <c r="C19" s="131"/>
      <c r="D19" s="131"/>
      <c r="E19" s="131"/>
    </row>
    <row r="20" spans="1:5" ht="12.75">
      <c r="A20" s="34" t="s">
        <v>110</v>
      </c>
      <c r="B20" s="228" t="e">
        <f t="shared" si="0"/>
        <v>#DIV/0!</v>
      </c>
      <c r="C20" s="131"/>
      <c r="D20" s="131"/>
      <c r="E20" s="131"/>
    </row>
    <row r="21" spans="1:5" ht="12.75">
      <c r="A21" s="220" t="s">
        <v>128</v>
      </c>
      <c r="B21" s="228" t="e">
        <f t="shared" si="0"/>
        <v>#DIV/0!</v>
      </c>
      <c r="C21" s="131"/>
      <c r="D21" s="131"/>
      <c r="E21" s="131"/>
    </row>
    <row r="22" spans="1:5" ht="12.75">
      <c r="A22" s="219"/>
      <c r="B22" s="228" t="e">
        <f t="shared" si="0"/>
        <v>#DIV/0!</v>
      </c>
      <c r="C22" s="131"/>
      <c r="D22" s="131"/>
      <c r="E22" s="131"/>
    </row>
    <row r="23" spans="1:5" ht="12.75">
      <c r="A23" s="219"/>
      <c r="B23" s="228" t="e">
        <f t="shared" si="0"/>
        <v>#DIV/0!</v>
      </c>
      <c r="C23" s="131"/>
      <c r="D23" s="131"/>
      <c r="E23" s="131"/>
    </row>
    <row r="24" spans="1:7" ht="12.75">
      <c r="A24" s="230"/>
      <c r="B24" s="231" t="e">
        <f t="shared" si="0"/>
        <v>#DIV/0!</v>
      </c>
      <c r="C24" s="222"/>
      <c r="D24" s="222"/>
      <c r="E24" s="222"/>
      <c r="F24" s="19"/>
      <c r="G24" s="19"/>
    </row>
    <row r="25" spans="1:7" ht="12.75">
      <c r="A25" s="253" t="s">
        <v>153</v>
      </c>
      <c r="B25" s="254" t="e">
        <f t="shared" si="0"/>
        <v>#DIV/0!</v>
      </c>
      <c r="C25" s="255">
        <f>SUM(C11:C24)</f>
        <v>0</v>
      </c>
      <c r="D25" s="255">
        <f>SUM(D11:D24)</f>
        <v>0</v>
      </c>
      <c r="E25" s="255">
        <f>SUM(E11:E24)</f>
        <v>0</v>
      </c>
      <c r="F25" s="255">
        <f>SUM(F11:F24)</f>
        <v>0</v>
      </c>
      <c r="G25" s="255">
        <f>SUM(G11:G24)</f>
        <v>0</v>
      </c>
    </row>
    <row r="26" spans="1:5" ht="12.75">
      <c r="A26" s="129"/>
      <c r="B26" s="232"/>
      <c r="C26" s="131"/>
      <c r="D26" s="131"/>
      <c r="E26" s="131"/>
    </row>
    <row r="27" spans="1:7" ht="12.75">
      <c r="A27" s="242" t="s">
        <v>154</v>
      </c>
      <c r="B27" s="244"/>
      <c r="C27" s="243"/>
      <c r="D27" s="56"/>
      <c r="E27" s="56"/>
      <c r="F27" s="56"/>
      <c r="G27" s="56"/>
    </row>
    <row r="28" spans="1:5" ht="12.75">
      <c r="A28" s="220" t="s">
        <v>132</v>
      </c>
      <c r="B28" s="228" t="e">
        <f aca="true" t="shared" si="1" ref="B28:B40">C28/$C$52*100</f>
        <v>#DIV/0!</v>
      </c>
      <c r="C28" s="131"/>
      <c r="D28" s="131"/>
      <c r="E28" s="131"/>
    </row>
    <row r="29" spans="1:5" ht="12.75">
      <c r="A29" s="220" t="s">
        <v>133</v>
      </c>
      <c r="B29" s="228" t="e">
        <f t="shared" si="1"/>
        <v>#DIV/0!</v>
      </c>
      <c r="C29" s="131"/>
      <c r="D29" s="131"/>
      <c r="E29" s="131"/>
    </row>
    <row r="30" spans="1:5" ht="12.75">
      <c r="A30" s="220" t="s">
        <v>134</v>
      </c>
      <c r="B30" s="228" t="e">
        <f t="shared" si="1"/>
        <v>#DIV/0!</v>
      </c>
      <c r="C30" s="131"/>
      <c r="D30" s="131"/>
      <c r="E30" s="131"/>
    </row>
    <row r="31" spans="1:5" ht="12.75">
      <c r="A31" s="220" t="s">
        <v>135</v>
      </c>
      <c r="B31" s="228" t="e">
        <f t="shared" si="1"/>
        <v>#DIV/0!</v>
      </c>
      <c r="C31" s="131"/>
      <c r="D31" s="131"/>
      <c r="E31" s="131"/>
    </row>
    <row r="32" spans="1:5" ht="12.75">
      <c r="A32" s="220" t="s">
        <v>136</v>
      </c>
      <c r="B32" s="228" t="e">
        <f t="shared" si="1"/>
        <v>#DIV/0!</v>
      </c>
      <c r="C32" s="131"/>
      <c r="D32" s="229"/>
      <c r="E32" s="229"/>
    </row>
    <row r="33" spans="1:5" ht="12.75">
      <c r="A33" s="220" t="s">
        <v>137</v>
      </c>
      <c r="B33" s="228" t="e">
        <f t="shared" si="1"/>
        <v>#DIV/0!</v>
      </c>
      <c r="C33" s="131"/>
      <c r="D33" s="131"/>
      <c r="E33" s="131"/>
    </row>
    <row r="34" spans="1:5" ht="12.75">
      <c r="A34" s="220" t="s">
        <v>138</v>
      </c>
      <c r="B34" s="228" t="e">
        <f t="shared" si="1"/>
        <v>#DIV/0!</v>
      </c>
      <c r="C34" s="131"/>
      <c r="D34" s="131"/>
      <c r="E34" s="131"/>
    </row>
    <row r="35" spans="1:5" ht="12.75">
      <c r="A35" s="220" t="s">
        <v>139</v>
      </c>
      <c r="B35" s="228" t="e">
        <f t="shared" si="1"/>
        <v>#DIV/0!</v>
      </c>
      <c r="C35" s="131"/>
      <c r="D35" s="131"/>
      <c r="E35" s="131"/>
    </row>
    <row r="36" spans="1:5" ht="12.75">
      <c r="A36" s="220" t="s">
        <v>140</v>
      </c>
      <c r="B36" s="228" t="e">
        <f t="shared" si="1"/>
        <v>#DIV/0!</v>
      </c>
      <c r="C36" s="131"/>
      <c r="D36" s="131"/>
      <c r="E36" s="131"/>
    </row>
    <row r="37" spans="1:5" ht="12.75">
      <c r="A37" s="34" t="s">
        <v>155</v>
      </c>
      <c r="B37" s="228" t="e">
        <f t="shared" si="1"/>
        <v>#DIV/0!</v>
      </c>
      <c r="C37" s="131"/>
      <c r="D37" s="131"/>
      <c r="E37" s="131"/>
    </row>
    <row r="38" spans="1:5" ht="12.75">
      <c r="A38" s="220"/>
      <c r="B38" s="228" t="e">
        <f t="shared" si="1"/>
        <v>#DIV/0!</v>
      </c>
      <c r="C38" s="131"/>
      <c r="D38" s="131"/>
      <c r="E38" s="131"/>
    </row>
    <row r="39" spans="1:7" ht="12.75">
      <c r="A39" s="230"/>
      <c r="B39" s="231" t="e">
        <f t="shared" si="1"/>
        <v>#DIV/0!</v>
      </c>
      <c r="C39" s="222"/>
      <c r="D39" s="222"/>
      <c r="E39" s="222"/>
      <c r="F39" s="19"/>
      <c r="G39" s="19"/>
    </row>
    <row r="40" spans="1:7" ht="12.75">
      <c r="A40" s="253" t="s">
        <v>156</v>
      </c>
      <c r="B40" s="254" t="e">
        <f t="shared" si="1"/>
        <v>#DIV/0!</v>
      </c>
      <c r="C40" s="255">
        <f>SUM(C28:C39)</f>
        <v>0</v>
      </c>
      <c r="D40" s="255">
        <f>SUM(D28:D39)</f>
        <v>0</v>
      </c>
      <c r="E40" s="255">
        <f>SUM(E28:E39)</f>
        <v>0</v>
      </c>
      <c r="F40" s="255">
        <f>SUM(F28:F39)</f>
        <v>0</v>
      </c>
      <c r="G40" s="255">
        <f>SUM(G28:G39)</f>
        <v>0</v>
      </c>
    </row>
    <row r="41" spans="1:5" ht="12.75">
      <c r="A41" s="129"/>
      <c r="B41" s="232"/>
      <c r="C41" s="131"/>
      <c r="D41" s="131"/>
      <c r="E41" s="131"/>
    </row>
    <row r="42" spans="1:7" ht="12.75">
      <c r="A42" s="242" t="s">
        <v>157</v>
      </c>
      <c r="B42" s="244"/>
      <c r="C42" s="243"/>
      <c r="D42" s="56"/>
      <c r="E42" s="56"/>
      <c r="F42" s="56"/>
      <c r="G42" s="56"/>
    </row>
    <row r="43" spans="1:5" ht="12.75">
      <c r="A43" s="220" t="s">
        <v>141</v>
      </c>
      <c r="B43" s="228" t="e">
        <f aca="true" t="shared" si="2" ref="B43:B50">C43/$C$52*100</f>
        <v>#DIV/0!</v>
      </c>
      <c r="C43" s="131"/>
      <c r="D43" s="131"/>
      <c r="E43" s="131"/>
    </row>
    <row r="44" spans="1:5" ht="12.75">
      <c r="A44" s="220" t="s">
        <v>158</v>
      </c>
      <c r="B44" s="228" t="e">
        <f t="shared" si="2"/>
        <v>#DIV/0!</v>
      </c>
      <c r="C44" s="131"/>
      <c r="D44" s="131"/>
      <c r="E44" s="131"/>
    </row>
    <row r="45" spans="1:5" ht="12.75">
      <c r="A45" s="220" t="s">
        <v>142</v>
      </c>
      <c r="B45" s="228" t="e">
        <f t="shared" si="2"/>
        <v>#DIV/0!</v>
      </c>
      <c r="C45" s="131"/>
      <c r="D45" s="131"/>
      <c r="E45" s="131"/>
    </row>
    <row r="46" spans="1:5" ht="12.75">
      <c r="A46" s="220" t="s">
        <v>155</v>
      </c>
      <c r="B46" s="228" t="e">
        <f t="shared" si="2"/>
        <v>#DIV/0!</v>
      </c>
      <c r="C46" s="131"/>
      <c r="D46" s="131"/>
      <c r="E46" s="131"/>
    </row>
    <row r="47" spans="1:5" ht="12.75">
      <c r="A47" s="34"/>
      <c r="B47" s="228" t="e">
        <f t="shared" si="2"/>
        <v>#DIV/0!</v>
      </c>
      <c r="C47" s="131"/>
      <c r="D47" s="131"/>
      <c r="E47" s="131"/>
    </row>
    <row r="48" spans="1:5" ht="12.75">
      <c r="A48" s="220"/>
      <c r="B48" s="228" t="e">
        <f t="shared" si="2"/>
        <v>#DIV/0!</v>
      </c>
      <c r="C48" s="131"/>
      <c r="D48" s="131"/>
      <c r="E48" s="131"/>
    </row>
    <row r="49" spans="1:7" ht="12.75">
      <c r="A49" s="230"/>
      <c r="B49" s="231" t="e">
        <f t="shared" si="2"/>
        <v>#DIV/0!</v>
      </c>
      <c r="C49" s="222"/>
      <c r="D49" s="222"/>
      <c r="E49" s="222"/>
      <c r="F49" s="19"/>
      <c r="G49" s="19"/>
    </row>
    <row r="50" spans="1:7" ht="12.75">
      <c r="A50" s="253" t="s">
        <v>159</v>
      </c>
      <c r="B50" s="254" t="e">
        <f t="shared" si="2"/>
        <v>#DIV/0!</v>
      </c>
      <c r="C50" s="255">
        <f>SUM(C43:C49)</f>
        <v>0</v>
      </c>
      <c r="D50" s="255">
        <f>SUM(D43:D49)</f>
        <v>0</v>
      </c>
      <c r="E50" s="255">
        <f>SUM(E43:E49)</f>
        <v>0</v>
      </c>
      <c r="F50" s="255">
        <f>SUM(F43:F49)</f>
        <v>0</v>
      </c>
      <c r="G50" s="255">
        <f>SUM(G43:G49)</f>
        <v>0</v>
      </c>
    </row>
    <row r="51" spans="1:5" ht="12.75">
      <c r="A51" s="129"/>
      <c r="B51" s="232"/>
      <c r="C51" s="131"/>
      <c r="D51" s="131"/>
      <c r="E51" s="131"/>
    </row>
    <row r="52" spans="1:7" ht="15">
      <c r="A52" s="245" t="s">
        <v>160</v>
      </c>
      <c r="B52" s="246"/>
      <c r="C52" s="247">
        <f>C25+C40+C50</f>
        <v>0</v>
      </c>
      <c r="D52" s="247">
        <f>D25+D40+D50</f>
        <v>0</v>
      </c>
      <c r="E52" s="247">
        <f>E25+E40+E50</f>
        <v>0</v>
      </c>
      <c r="F52" s="247">
        <f>F25+F40+F50</f>
        <v>0</v>
      </c>
      <c r="G52" s="247">
        <f>G25+G40+G50</f>
        <v>0</v>
      </c>
    </row>
    <row r="53" spans="1:5" ht="12.75">
      <c r="A53" s="129"/>
      <c r="B53" s="232"/>
      <c r="C53" s="131"/>
      <c r="D53" s="131"/>
      <c r="E53" s="131"/>
    </row>
    <row r="54" spans="1:2" ht="17.25">
      <c r="A54" s="128" t="s">
        <v>161</v>
      </c>
      <c r="B54" s="233"/>
    </row>
    <row r="55" ht="12.75">
      <c r="B55" s="233"/>
    </row>
    <row r="56" spans="1:4" ht="15">
      <c r="A56" s="227" t="s">
        <v>144</v>
      </c>
      <c r="B56" s="232"/>
      <c r="C56" s="131"/>
      <c r="D56" s="13"/>
    </row>
    <row r="57" spans="1:7" ht="12.75">
      <c r="A57" s="242" t="s">
        <v>162</v>
      </c>
      <c r="B57" s="244" t="s">
        <v>151</v>
      </c>
      <c r="C57" s="243"/>
      <c r="D57" s="56"/>
      <c r="E57" s="56"/>
      <c r="F57" s="56"/>
      <c r="G57" s="56"/>
    </row>
    <row r="58" spans="1:5" ht="12.75">
      <c r="A58" s="219" t="s">
        <v>106</v>
      </c>
      <c r="B58" s="228" t="e">
        <f aca="true" t="shared" si="3" ref="B58:B72">C58/$C$99*100</f>
        <v>#DIV/0!</v>
      </c>
      <c r="C58" s="131"/>
      <c r="D58" s="131"/>
      <c r="E58" s="131"/>
    </row>
    <row r="59" spans="1:5" ht="12.75">
      <c r="A59" s="219" t="s">
        <v>163</v>
      </c>
      <c r="B59" s="228" t="e">
        <f t="shared" si="3"/>
        <v>#DIV/0!</v>
      </c>
      <c r="C59" s="131"/>
      <c r="D59" s="131"/>
      <c r="E59" s="131"/>
    </row>
    <row r="60" spans="1:5" ht="12.75">
      <c r="A60" s="219" t="s">
        <v>164</v>
      </c>
      <c r="B60" s="228" t="e">
        <f t="shared" si="3"/>
        <v>#DIV/0!</v>
      </c>
      <c r="C60" s="131"/>
      <c r="D60" s="131"/>
      <c r="E60" s="131"/>
    </row>
    <row r="61" spans="1:5" ht="12.75">
      <c r="A61" s="218" t="s">
        <v>165</v>
      </c>
      <c r="B61" s="228" t="e">
        <f t="shared" si="3"/>
        <v>#DIV/0!</v>
      </c>
      <c r="C61" s="131"/>
      <c r="D61" s="131"/>
      <c r="E61" s="131"/>
    </row>
    <row r="62" spans="1:5" ht="12.75">
      <c r="A62" s="234" t="s">
        <v>166</v>
      </c>
      <c r="B62" s="228" t="e">
        <f t="shared" si="3"/>
        <v>#DIV/0!</v>
      </c>
      <c r="C62" s="131"/>
      <c r="D62" s="229"/>
      <c r="E62" s="229"/>
    </row>
    <row r="63" spans="1:5" ht="12.75">
      <c r="A63" s="234" t="s">
        <v>167</v>
      </c>
      <c r="B63" s="228" t="e">
        <f t="shared" si="3"/>
        <v>#DIV/0!</v>
      </c>
      <c r="C63" s="131"/>
      <c r="D63" s="131"/>
      <c r="E63" s="131"/>
    </row>
    <row r="64" spans="1:5" ht="12.75">
      <c r="A64" s="219" t="s">
        <v>126</v>
      </c>
      <c r="B64" s="228" t="e">
        <f t="shared" si="3"/>
        <v>#DIV/0!</v>
      </c>
      <c r="C64" s="131"/>
      <c r="D64" s="131"/>
      <c r="E64" s="131"/>
    </row>
    <row r="65" spans="1:5" ht="12.75">
      <c r="A65" s="219" t="s">
        <v>168</v>
      </c>
      <c r="B65" s="228" t="e">
        <f t="shared" si="3"/>
        <v>#DIV/0!</v>
      </c>
      <c r="C65" s="131"/>
      <c r="D65" s="131"/>
      <c r="E65" s="131"/>
    </row>
    <row r="66" spans="1:5" ht="12.75">
      <c r="A66" s="219" t="s">
        <v>129</v>
      </c>
      <c r="B66" s="228" t="e">
        <f t="shared" si="3"/>
        <v>#DIV/0!</v>
      </c>
      <c r="C66" s="131"/>
      <c r="D66" s="131"/>
      <c r="E66" s="131"/>
    </row>
    <row r="67" spans="1:5" ht="12.75">
      <c r="A67" s="219" t="s">
        <v>169</v>
      </c>
      <c r="B67" s="228" t="e">
        <f t="shared" si="3"/>
        <v>#DIV/0!</v>
      </c>
      <c r="C67" s="131"/>
      <c r="D67" s="131"/>
      <c r="E67" s="131"/>
    </row>
    <row r="68" spans="1:5" ht="12.75">
      <c r="A68" s="219" t="s">
        <v>170</v>
      </c>
      <c r="B68" s="228" t="e">
        <f t="shared" si="3"/>
        <v>#DIV/0!</v>
      </c>
      <c r="C68" s="131"/>
      <c r="D68" s="131"/>
      <c r="E68" s="131"/>
    </row>
    <row r="69" spans="1:5" ht="12.75">
      <c r="A69" s="219" t="s">
        <v>130</v>
      </c>
      <c r="B69" s="228" t="e">
        <f t="shared" si="3"/>
        <v>#DIV/0!</v>
      </c>
      <c r="C69" s="131"/>
      <c r="D69" s="131"/>
      <c r="E69" s="131"/>
    </row>
    <row r="70" spans="1:5" ht="12.75">
      <c r="A70" s="219" t="s">
        <v>131</v>
      </c>
      <c r="B70" s="228" t="e">
        <f t="shared" si="3"/>
        <v>#DIV/0!</v>
      </c>
      <c r="C70" s="131"/>
      <c r="D70" s="131"/>
      <c r="E70" s="131"/>
    </row>
    <row r="71" spans="1:7" ht="12.75">
      <c r="A71" s="230"/>
      <c r="B71" s="231" t="e">
        <f t="shared" si="3"/>
        <v>#DIV/0!</v>
      </c>
      <c r="C71" s="222"/>
      <c r="D71" s="222"/>
      <c r="E71" s="222"/>
      <c r="F71" s="19"/>
      <c r="G71" s="19"/>
    </row>
    <row r="72" spans="1:7" ht="12.75">
      <c r="A72" s="253" t="s">
        <v>171</v>
      </c>
      <c r="B72" s="254" t="e">
        <f t="shared" si="3"/>
        <v>#DIV/0!</v>
      </c>
      <c r="C72" s="255">
        <f>SUM(C58:C71)</f>
        <v>0</v>
      </c>
      <c r="D72" s="255">
        <f>SUM(D58:D71)</f>
        <v>0</v>
      </c>
      <c r="E72" s="255">
        <f>SUM(E58:E71)</f>
        <v>0</v>
      </c>
      <c r="F72" s="255">
        <f>SUM(F58:F71)</f>
        <v>0</v>
      </c>
      <c r="G72" s="255">
        <f>SUM(G58:G71)</f>
        <v>0</v>
      </c>
    </row>
    <row r="73" spans="1:5" ht="12.75">
      <c r="A73" s="129"/>
      <c r="B73" s="232"/>
      <c r="C73" s="131"/>
      <c r="D73" s="131"/>
      <c r="E73" s="131"/>
    </row>
    <row r="74" spans="1:7" ht="12.75">
      <c r="A74" s="242" t="s">
        <v>172</v>
      </c>
      <c r="B74" s="244"/>
      <c r="C74" s="243"/>
      <c r="D74" s="56"/>
      <c r="E74" s="56"/>
      <c r="F74" s="56"/>
      <c r="G74" s="56"/>
    </row>
    <row r="75" spans="1:5" ht="12.75">
      <c r="A75" s="220" t="s">
        <v>173</v>
      </c>
      <c r="B75" s="228" t="e">
        <f aca="true" t="shared" si="4" ref="B75:B87">C75/$C$99*100</f>
        <v>#DIV/0!</v>
      </c>
      <c r="C75" s="131"/>
      <c r="D75" s="131"/>
      <c r="E75" s="131"/>
    </row>
    <row r="76" spans="1:5" ht="12.75">
      <c r="A76" s="220" t="s">
        <v>174</v>
      </c>
      <c r="B76" s="228" t="e">
        <f t="shared" si="4"/>
        <v>#DIV/0!</v>
      </c>
      <c r="C76" s="131"/>
      <c r="D76" s="131"/>
      <c r="E76" s="131"/>
    </row>
    <row r="77" spans="1:5" ht="12.75">
      <c r="A77" s="220" t="s">
        <v>175</v>
      </c>
      <c r="B77" s="228" t="e">
        <f t="shared" si="4"/>
        <v>#DIV/0!</v>
      </c>
      <c r="C77" s="131"/>
      <c r="D77" s="131"/>
      <c r="E77" s="131"/>
    </row>
    <row r="78" spans="1:5" ht="12.75">
      <c r="A78" s="220" t="s">
        <v>176</v>
      </c>
      <c r="B78" s="228" t="e">
        <f t="shared" si="4"/>
        <v>#DIV/0!</v>
      </c>
      <c r="C78" s="131"/>
      <c r="D78" s="131"/>
      <c r="E78" s="131"/>
    </row>
    <row r="79" spans="1:5" ht="12.75">
      <c r="A79" s="220" t="s">
        <v>177</v>
      </c>
      <c r="B79" s="228" t="e">
        <f t="shared" si="4"/>
        <v>#DIV/0!</v>
      </c>
      <c r="C79" s="131"/>
      <c r="D79" s="229"/>
      <c r="E79" s="229"/>
    </row>
    <row r="80" spans="1:5" ht="12.75">
      <c r="A80" s="220" t="s">
        <v>178</v>
      </c>
      <c r="B80" s="228" t="e">
        <f t="shared" si="4"/>
        <v>#DIV/0!</v>
      </c>
      <c r="C80" s="131"/>
      <c r="D80" s="131"/>
      <c r="E80" s="131"/>
    </row>
    <row r="81" spans="1:5" ht="12.75">
      <c r="A81" s="220" t="s">
        <v>179</v>
      </c>
      <c r="B81" s="228" t="e">
        <f t="shared" si="4"/>
        <v>#DIV/0!</v>
      </c>
      <c r="C81" s="131"/>
      <c r="D81" s="131"/>
      <c r="E81" s="131"/>
    </row>
    <row r="82" spans="1:5" ht="12.75">
      <c r="A82" s="220" t="s">
        <v>180</v>
      </c>
      <c r="B82" s="228" t="e">
        <f t="shared" si="4"/>
        <v>#DIV/0!</v>
      </c>
      <c r="C82" s="131"/>
      <c r="D82" s="131"/>
      <c r="E82" s="131"/>
    </row>
    <row r="83" spans="1:5" ht="12.75">
      <c r="A83" s="235" t="s">
        <v>155</v>
      </c>
      <c r="B83" s="228" t="e">
        <f t="shared" si="4"/>
        <v>#DIV/0!</v>
      </c>
      <c r="C83" s="131"/>
      <c r="D83" s="131"/>
      <c r="E83" s="131"/>
    </row>
    <row r="84" spans="1:5" ht="12.75">
      <c r="A84" s="34"/>
      <c r="B84" s="228" t="e">
        <f t="shared" si="4"/>
        <v>#DIV/0!</v>
      </c>
      <c r="C84" s="131"/>
      <c r="D84" s="131"/>
      <c r="E84" s="131"/>
    </row>
    <row r="85" spans="1:5" ht="12.75">
      <c r="A85" s="220"/>
      <c r="B85" s="228" t="e">
        <f t="shared" si="4"/>
        <v>#DIV/0!</v>
      </c>
      <c r="C85" s="131"/>
      <c r="D85" s="131"/>
      <c r="E85" s="131"/>
    </row>
    <row r="86" spans="1:7" ht="12.75">
      <c r="A86" s="230"/>
      <c r="B86" s="231" t="e">
        <f t="shared" si="4"/>
        <v>#DIV/0!</v>
      </c>
      <c r="C86" s="222"/>
      <c r="D86" s="222"/>
      <c r="E86" s="222"/>
      <c r="F86" s="19"/>
      <c r="G86" s="19"/>
    </row>
    <row r="87" spans="1:7" ht="12.75">
      <c r="A87" s="253" t="s">
        <v>181</v>
      </c>
      <c r="B87" s="254" t="e">
        <f t="shared" si="4"/>
        <v>#DIV/0!</v>
      </c>
      <c r="C87" s="255">
        <f>SUM(C75:C86)</f>
        <v>0</v>
      </c>
      <c r="D87" s="255">
        <f>SUM(D75:D86)</f>
        <v>0</v>
      </c>
      <c r="E87" s="255">
        <f>SUM(E75:E86)</f>
        <v>0</v>
      </c>
      <c r="F87" s="255">
        <f>SUM(F75:F86)</f>
        <v>0</v>
      </c>
      <c r="G87" s="255">
        <f>SUM(G75:G86)</f>
        <v>0</v>
      </c>
    </row>
    <row r="88" spans="1:5" ht="12.75">
      <c r="A88" s="129"/>
      <c r="B88" s="232"/>
      <c r="C88" s="131"/>
      <c r="D88" s="131"/>
      <c r="E88" s="131"/>
    </row>
    <row r="89" spans="1:7" ht="12.75">
      <c r="A89" s="242" t="s">
        <v>182</v>
      </c>
      <c r="B89" s="244"/>
      <c r="C89" s="243"/>
      <c r="D89" s="56"/>
      <c r="E89" s="56"/>
      <c r="F89" s="56"/>
      <c r="G89" s="56"/>
    </row>
    <row r="90" spans="1:5" ht="12.75">
      <c r="A90" s="3" t="s">
        <v>183</v>
      </c>
      <c r="B90" s="228" t="e">
        <f aca="true" t="shared" si="5" ref="B90:B97">C90/$C$99*100</f>
        <v>#DIV/0!</v>
      </c>
      <c r="C90" s="131"/>
      <c r="D90" s="131"/>
      <c r="E90" s="131"/>
    </row>
    <row r="91" spans="1:5" ht="12.75">
      <c r="A91" s="220" t="s">
        <v>184</v>
      </c>
      <c r="B91" s="228" t="e">
        <f t="shared" si="5"/>
        <v>#DIV/0!</v>
      </c>
      <c r="C91" s="131"/>
      <c r="D91" s="131"/>
      <c r="E91" s="131"/>
    </row>
    <row r="92" spans="1:5" ht="12.75">
      <c r="A92" s="220" t="s">
        <v>185</v>
      </c>
      <c r="B92" s="228" t="e">
        <f t="shared" si="5"/>
        <v>#DIV/0!</v>
      </c>
      <c r="C92" s="131"/>
      <c r="D92" s="131"/>
      <c r="E92" s="131"/>
    </row>
    <row r="93" spans="1:5" ht="12.75">
      <c r="A93" s="220" t="s">
        <v>186</v>
      </c>
      <c r="B93" s="228" t="e">
        <f t="shared" si="5"/>
        <v>#DIV/0!</v>
      </c>
      <c r="C93" s="131"/>
      <c r="D93" s="131"/>
      <c r="E93" s="131"/>
    </row>
    <row r="94" spans="1:5" ht="12.75">
      <c r="A94" s="220" t="s">
        <v>155</v>
      </c>
      <c r="B94" s="228" t="e">
        <f t="shared" si="5"/>
        <v>#DIV/0!</v>
      </c>
      <c r="C94" s="131"/>
      <c r="D94" s="131"/>
      <c r="E94" s="131"/>
    </row>
    <row r="95" spans="1:5" ht="12.75">
      <c r="A95" s="220"/>
      <c r="B95" s="228" t="e">
        <f t="shared" si="5"/>
        <v>#DIV/0!</v>
      </c>
      <c r="C95" s="131"/>
      <c r="D95" s="131"/>
      <c r="E95" s="131"/>
    </row>
    <row r="96" spans="1:7" ht="12.75">
      <c r="A96" s="230"/>
      <c r="B96" s="231" t="e">
        <f t="shared" si="5"/>
        <v>#DIV/0!</v>
      </c>
      <c r="C96" s="222"/>
      <c r="D96" s="222"/>
      <c r="E96" s="222"/>
      <c r="F96" s="19"/>
      <c r="G96" s="19"/>
    </row>
    <row r="97" spans="1:7" ht="12.75">
      <c r="A97" s="253" t="s">
        <v>187</v>
      </c>
      <c r="B97" s="254" t="e">
        <f t="shared" si="5"/>
        <v>#DIV/0!</v>
      </c>
      <c r="C97" s="255">
        <f>SUM(C90:C96)</f>
        <v>0</v>
      </c>
      <c r="D97" s="255">
        <f>SUM(D90:D96)</f>
        <v>0</v>
      </c>
      <c r="E97" s="255">
        <f>SUM(E90:E96)</f>
        <v>0</v>
      </c>
      <c r="F97" s="255">
        <f>SUM(F90:F96)</f>
        <v>0</v>
      </c>
      <c r="G97" s="255">
        <f>SUM(G90:G96)</f>
        <v>0</v>
      </c>
    </row>
    <row r="98" spans="1:5" ht="12.75">
      <c r="A98" s="129"/>
      <c r="C98" s="131"/>
      <c r="D98" s="131"/>
      <c r="E98" s="131"/>
    </row>
    <row r="99" spans="1:7" ht="15">
      <c r="A99" s="245" t="s">
        <v>188</v>
      </c>
      <c r="B99" s="248"/>
      <c r="C99" s="247">
        <f>C72+C87+C97</f>
        <v>0</v>
      </c>
      <c r="D99" s="247">
        <f>D72+D87+D97</f>
        <v>0</v>
      </c>
      <c r="E99" s="247">
        <f>E72+E87+E97</f>
        <v>0</v>
      </c>
      <c r="F99" s="247">
        <f>F72+F87+F97</f>
        <v>0</v>
      </c>
      <c r="G99" s="247">
        <f>G72+G87+G97</f>
        <v>0</v>
      </c>
    </row>
    <row r="102" spans="1:7" ht="15">
      <c r="A102" s="249" t="s">
        <v>189</v>
      </c>
      <c r="B102" s="250"/>
      <c r="C102" s="251">
        <f>C52-C99</f>
        <v>0</v>
      </c>
      <c r="D102" s="251">
        <f>D52-D99</f>
        <v>0</v>
      </c>
      <c r="E102" s="251">
        <f>E52-E99</f>
        <v>0</v>
      </c>
      <c r="F102" s="251">
        <f>F52-F99</f>
        <v>0</v>
      </c>
      <c r="G102" s="251">
        <f>G52-G99</f>
        <v>0</v>
      </c>
    </row>
    <row r="104" spans="1:7" ht="12.75">
      <c r="A104" s="252" t="s">
        <v>190</v>
      </c>
      <c r="B104" s="240" t="s">
        <v>192</v>
      </c>
      <c r="C104" s="240" t="s">
        <v>191</v>
      </c>
      <c r="D104" s="240" t="s">
        <v>191</v>
      </c>
      <c r="E104" s="240" t="s">
        <v>191</v>
      </c>
      <c r="F104" s="240" t="s">
        <v>191</v>
      </c>
      <c r="G104" s="240" t="s">
        <v>191</v>
      </c>
    </row>
    <row r="105" spans="1:7" ht="12.75">
      <c r="A105" s="3" t="s">
        <v>160</v>
      </c>
      <c r="B105" s="237">
        <f>C52/C7</f>
        <v>0</v>
      </c>
      <c r="C105" s="130">
        <f>C52/C5</f>
        <v>0</v>
      </c>
      <c r="D105" s="130">
        <f>D52/D5</f>
        <v>0</v>
      </c>
      <c r="E105" s="130">
        <f>E52/E5</f>
        <v>0</v>
      </c>
      <c r="F105" s="130">
        <f>F52/F5</f>
        <v>0</v>
      </c>
      <c r="G105" s="130">
        <f>G52/G5</f>
        <v>0</v>
      </c>
    </row>
    <row r="106" spans="1:7" ht="12.75">
      <c r="A106" s="3" t="s">
        <v>188</v>
      </c>
      <c r="B106" s="237">
        <f>C99/C7</f>
        <v>0</v>
      </c>
      <c r="C106" s="130">
        <f>C99/C5</f>
        <v>0</v>
      </c>
      <c r="D106" s="130">
        <f>D99/D5</f>
        <v>0</v>
      </c>
      <c r="E106" s="130">
        <f>E99/E5</f>
        <v>0</v>
      </c>
      <c r="F106" s="130">
        <f>F99/F5</f>
        <v>0</v>
      </c>
      <c r="G106" s="130">
        <f>G99/G5</f>
        <v>0</v>
      </c>
    </row>
    <row r="107" spans="1:7" ht="12.75">
      <c r="A107" s="42" t="s">
        <v>189</v>
      </c>
      <c r="B107" s="238">
        <f>C102/C7</f>
        <v>0</v>
      </c>
      <c r="C107" s="236">
        <f>C102/C5</f>
        <v>0</v>
      </c>
      <c r="D107" s="236">
        <f>D102/D5</f>
        <v>0</v>
      </c>
      <c r="E107" s="236">
        <f>E102/E5</f>
        <v>0</v>
      </c>
      <c r="F107" s="236">
        <f>F102/F5</f>
        <v>0</v>
      </c>
      <c r="G107" s="236">
        <f>G102/G5</f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46" r:id="rId1"/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B30" sqref="B30"/>
    </sheetView>
  </sheetViews>
  <sheetFormatPr defaultColWidth="11.00390625" defaultRowHeight="12.75"/>
  <cols>
    <col min="1" max="1" width="23.57421875" style="3" customWidth="1"/>
    <col min="2" max="2" width="7.00390625" style="3" customWidth="1"/>
    <col min="3" max="12" width="6.7109375" style="3" customWidth="1"/>
    <col min="13" max="16384" width="11.00390625" style="3" customWidth="1"/>
  </cols>
  <sheetData>
    <row r="1" spans="1:6" s="2" customFormat="1" ht="18">
      <c r="A1" s="1" t="s">
        <v>27</v>
      </c>
      <c r="B1" s="1"/>
      <c r="F1" s="227" t="s">
        <v>215</v>
      </c>
    </row>
    <row r="2" ht="12.75"/>
    <row r="3" spans="1:2" ht="12.75">
      <c r="A3" s="270" t="s">
        <v>198</v>
      </c>
      <c r="B3" s="271">
        <v>1000</v>
      </c>
    </row>
    <row r="4" spans="1:13" ht="12.75">
      <c r="A4" s="4"/>
      <c r="B4" s="292" t="s">
        <v>216</v>
      </c>
      <c r="C4" s="293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6" t="s">
        <v>9</v>
      </c>
      <c r="M4" s="48"/>
    </row>
    <row r="5" spans="1:13" ht="12.75">
      <c r="A5" s="24" t="s">
        <v>10</v>
      </c>
      <c r="B5" s="294"/>
      <c r="C5" s="25"/>
      <c r="D5" s="25"/>
      <c r="E5" s="25"/>
      <c r="F5" s="25"/>
      <c r="G5" s="25"/>
      <c r="H5" s="25"/>
      <c r="I5" s="25"/>
      <c r="J5" s="25"/>
      <c r="K5" s="25"/>
      <c r="L5" s="26"/>
      <c r="M5" s="48"/>
    </row>
    <row r="6" spans="1:13" ht="12.75">
      <c r="A6" s="7" t="s">
        <v>11</v>
      </c>
      <c r="B6" s="18"/>
      <c r="C6" s="18">
        <v>0.3</v>
      </c>
      <c r="D6" s="18">
        <v>0.3</v>
      </c>
      <c r="E6" s="18">
        <v>0.3</v>
      </c>
      <c r="F6" s="18">
        <v>0.3</v>
      </c>
      <c r="G6" s="18">
        <v>0.3</v>
      </c>
      <c r="H6" s="18">
        <v>0.3</v>
      </c>
      <c r="I6" s="18">
        <v>0.3</v>
      </c>
      <c r="J6" s="18">
        <v>0.3</v>
      </c>
      <c r="K6" s="18">
        <v>0.3</v>
      </c>
      <c r="L6" s="27">
        <v>0.3</v>
      </c>
      <c r="M6" s="48"/>
    </row>
    <row r="7" spans="1:13" ht="12.75">
      <c r="A7" s="7" t="s">
        <v>12</v>
      </c>
      <c r="B7" s="18"/>
      <c r="C7" s="18">
        <v>0.3</v>
      </c>
      <c r="D7" s="18">
        <v>0.3</v>
      </c>
      <c r="E7" s="18">
        <v>0.3</v>
      </c>
      <c r="F7" s="18">
        <v>0.3</v>
      </c>
      <c r="G7" s="18">
        <v>0.3</v>
      </c>
      <c r="H7" s="18">
        <v>0.3</v>
      </c>
      <c r="I7" s="18">
        <v>0.3</v>
      </c>
      <c r="J7" s="18">
        <v>0.3</v>
      </c>
      <c r="K7" s="18">
        <v>0.3</v>
      </c>
      <c r="L7" s="27">
        <v>0.3</v>
      </c>
      <c r="M7" s="48"/>
    </row>
    <row r="8" spans="1:13" ht="12.75">
      <c r="A8" s="7" t="s">
        <v>13</v>
      </c>
      <c r="B8" s="18"/>
      <c r="C8" s="18">
        <v>0.3</v>
      </c>
      <c r="D8" s="18">
        <v>0.3</v>
      </c>
      <c r="E8" s="18">
        <v>0.3</v>
      </c>
      <c r="F8" s="18">
        <v>0.3</v>
      </c>
      <c r="G8" s="18">
        <v>0.3</v>
      </c>
      <c r="H8" s="18">
        <v>0.3</v>
      </c>
      <c r="I8" s="18">
        <v>0.3</v>
      </c>
      <c r="J8" s="18">
        <v>0.3</v>
      </c>
      <c r="K8" s="18">
        <v>0.3</v>
      </c>
      <c r="L8" s="18">
        <v>0.3</v>
      </c>
      <c r="M8" s="48"/>
    </row>
    <row r="9" spans="1:13" ht="12.75">
      <c r="A9" s="7" t="s">
        <v>212</v>
      </c>
      <c r="B9" s="18"/>
      <c r="C9" s="18">
        <v>0.15</v>
      </c>
      <c r="D9" s="18">
        <v>0.15</v>
      </c>
      <c r="E9" s="18">
        <v>0.15</v>
      </c>
      <c r="F9" s="18">
        <v>0.15</v>
      </c>
      <c r="G9" s="18">
        <v>0.15</v>
      </c>
      <c r="H9" s="18">
        <v>0.15</v>
      </c>
      <c r="I9" s="18">
        <v>0.15</v>
      </c>
      <c r="J9" s="18">
        <v>0.15</v>
      </c>
      <c r="K9" s="18">
        <v>0.15</v>
      </c>
      <c r="L9" s="18">
        <v>0.15</v>
      </c>
      <c r="M9" s="48"/>
    </row>
    <row r="10" spans="1:13" ht="12.75">
      <c r="A10" s="7" t="s">
        <v>213</v>
      </c>
      <c r="B10" s="18"/>
      <c r="C10" s="18">
        <v>0.02</v>
      </c>
      <c r="D10" s="18">
        <v>0.02</v>
      </c>
      <c r="E10" s="18">
        <v>0.02</v>
      </c>
      <c r="F10" s="18">
        <v>0.02</v>
      </c>
      <c r="G10" s="18">
        <v>0.02</v>
      </c>
      <c r="H10" s="18">
        <v>0.02</v>
      </c>
      <c r="I10" s="18">
        <v>0.02</v>
      </c>
      <c r="J10" s="18">
        <v>0.02</v>
      </c>
      <c r="K10" s="18">
        <v>0.02</v>
      </c>
      <c r="L10" s="18">
        <v>0.02</v>
      </c>
      <c r="M10" s="48"/>
    </row>
    <row r="11" spans="1:13" ht="12.75">
      <c r="A11" s="7" t="s">
        <v>217</v>
      </c>
      <c r="B11" s="18"/>
      <c r="C11" s="18">
        <v>0.49</v>
      </c>
      <c r="D11" s="18">
        <v>0.49</v>
      </c>
      <c r="E11" s="18">
        <v>0.49</v>
      </c>
      <c r="F11" s="18">
        <v>0.49</v>
      </c>
      <c r="G11" s="18">
        <v>0.49</v>
      </c>
      <c r="H11" s="18">
        <v>0.49</v>
      </c>
      <c r="I11" s="18">
        <v>0.49</v>
      </c>
      <c r="J11" s="18">
        <v>0.49</v>
      </c>
      <c r="K11" s="18">
        <v>0.49</v>
      </c>
      <c r="L11" s="18">
        <v>0.49</v>
      </c>
      <c r="M11" s="48"/>
    </row>
    <row r="12" spans="1:13" ht="12.75">
      <c r="A12" s="7" t="s">
        <v>14</v>
      </c>
      <c r="B12" s="277">
        <f>B3</f>
        <v>1000</v>
      </c>
      <c r="C12" s="278">
        <f aca="true" t="shared" si="0" ref="C12:L12">B12</f>
        <v>1000</v>
      </c>
      <c r="D12" s="278">
        <f t="shared" si="0"/>
        <v>1000</v>
      </c>
      <c r="E12" s="278">
        <f t="shared" si="0"/>
        <v>1000</v>
      </c>
      <c r="F12" s="278">
        <f t="shared" si="0"/>
        <v>1000</v>
      </c>
      <c r="G12" s="278">
        <f t="shared" si="0"/>
        <v>1000</v>
      </c>
      <c r="H12" s="278">
        <f t="shared" si="0"/>
        <v>1000</v>
      </c>
      <c r="I12" s="278">
        <f t="shared" si="0"/>
        <v>1000</v>
      </c>
      <c r="J12" s="278">
        <f t="shared" si="0"/>
        <v>1000</v>
      </c>
      <c r="K12" s="278">
        <f t="shared" si="0"/>
        <v>1000</v>
      </c>
      <c r="L12" s="279">
        <f t="shared" si="0"/>
        <v>1000</v>
      </c>
      <c r="M12" s="48"/>
    </row>
    <row r="13" spans="1:13" ht="12.75">
      <c r="A13" s="10" t="s">
        <v>15</v>
      </c>
      <c r="B13" s="28"/>
      <c r="C13" s="28">
        <v>13.5</v>
      </c>
      <c r="D13" s="28">
        <v>13.5</v>
      </c>
      <c r="E13" s="28">
        <v>13.5</v>
      </c>
      <c r="F13" s="28">
        <v>13.5</v>
      </c>
      <c r="G13" s="28">
        <v>13.5</v>
      </c>
      <c r="H13" s="28">
        <v>13.5</v>
      </c>
      <c r="I13" s="28">
        <v>13.5</v>
      </c>
      <c r="J13" s="28">
        <v>13.5</v>
      </c>
      <c r="K13" s="28">
        <v>13.5</v>
      </c>
      <c r="L13" s="29">
        <v>13.5</v>
      </c>
      <c r="M13" s="48"/>
    </row>
    <row r="14" ht="12.75"/>
    <row r="15" spans="1:13" ht="12.75">
      <c r="A15" s="4"/>
      <c r="B15" s="295" t="s">
        <v>216</v>
      </c>
      <c r="C15" s="5" t="s">
        <v>0</v>
      </c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48"/>
    </row>
    <row r="16" spans="1:13" ht="12.75">
      <c r="A16" s="7" t="s">
        <v>16</v>
      </c>
      <c r="B16" s="296">
        <v>0</v>
      </c>
      <c r="C16" s="297">
        <f>B22-B26</f>
        <v>700</v>
      </c>
      <c r="D16" s="8">
        <f>C22-C8*C18-C7*C16-C6*C17</f>
        <v>700</v>
      </c>
      <c r="E16" s="8">
        <f aca="true" t="shared" si="1" ref="E16:L16">D$22-D$24-D$25-D$26</f>
        <v>700</v>
      </c>
      <c r="F16" s="8">
        <f t="shared" si="1"/>
        <v>700</v>
      </c>
      <c r="G16" s="8">
        <f t="shared" si="1"/>
        <v>700</v>
      </c>
      <c r="H16" s="8">
        <f t="shared" si="1"/>
        <v>700</v>
      </c>
      <c r="I16" s="8">
        <f t="shared" si="1"/>
        <v>700</v>
      </c>
      <c r="J16" s="8">
        <f t="shared" si="1"/>
        <v>700</v>
      </c>
      <c r="K16" s="8">
        <f t="shared" si="1"/>
        <v>700</v>
      </c>
      <c r="L16" s="8">
        <f t="shared" si="1"/>
        <v>700</v>
      </c>
      <c r="M16" s="48"/>
    </row>
    <row r="17" spans="1:13" ht="12.75">
      <c r="A17" s="10" t="s">
        <v>17</v>
      </c>
      <c r="B17" s="298">
        <v>0</v>
      </c>
      <c r="C17" s="297">
        <f>(1-C10)*B29</f>
        <v>0</v>
      </c>
      <c r="D17" s="8">
        <f>(1-C10)*C29</f>
        <v>362.8177777777778</v>
      </c>
      <c r="E17" s="8">
        <f>(1-D10)*D29</f>
        <v>471.6631111111111</v>
      </c>
      <c r="F17" s="8">
        <f aca="true" t="shared" si="2" ref="F17:L17">(1-E10)*E29</f>
        <v>471.66311111111105</v>
      </c>
      <c r="G17" s="8">
        <f t="shared" si="2"/>
        <v>471.66311111111105</v>
      </c>
      <c r="H17" s="8">
        <f t="shared" si="2"/>
        <v>471.66311111111105</v>
      </c>
      <c r="I17" s="8">
        <f t="shared" si="2"/>
        <v>471.66311111111105</v>
      </c>
      <c r="J17" s="8">
        <f t="shared" si="2"/>
        <v>471.66311111111105</v>
      </c>
      <c r="K17" s="8">
        <f t="shared" si="2"/>
        <v>471.66311111111105</v>
      </c>
      <c r="L17" s="8">
        <f t="shared" si="2"/>
        <v>471.66311111111105</v>
      </c>
      <c r="M17" s="48"/>
    </row>
    <row r="18" spans="1:13" ht="12.75">
      <c r="A18" s="7" t="s">
        <v>18</v>
      </c>
      <c r="B18" s="299">
        <f>B12-B16-B17</f>
        <v>1000</v>
      </c>
      <c r="C18" s="21">
        <f aca="true" t="shared" si="3" ref="C18:L18">IF(C12-(C16+C17)&gt;0,C12-(C16+C17),0)</f>
        <v>300</v>
      </c>
      <c r="D18" s="21">
        <f t="shared" si="3"/>
        <v>0</v>
      </c>
      <c r="E18" s="21">
        <f t="shared" si="3"/>
        <v>0</v>
      </c>
      <c r="F18" s="21">
        <f t="shared" si="3"/>
        <v>0</v>
      </c>
      <c r="G18" s="21">
        <f t="shared" si="3"/>
        <v>0</v>
      </c>
      <c r="H18" s="21">
        <f t="shared" si="3"/>
        <v>0</v>
      </c>
      <c r="I18" s="21">
        <f t="shared" si="3"/>
        <v>0</v>
      </c>
      <c r="J18" s="21">
        <f t="shared" si="3"/>
        <v>0</v>
      </c>
      <c r="K18" s="21">
        <f t="shared" si="3"/>
        <v>0</v>
      </c>
      <c r="L18" s="21">
        <f t="shared" si="3"/>
        <v>0</v>
      </c>
      <c r="M18" s="48"/>
    </row>
    <row r="19" spans="1:13" ht="12.75">
      <c r="A19" s="10" t="s">
        <v>19</v>
      </c>
      <c r="B19" s="300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48"/>
    </row>
    <row r="20" spans="1:13" ht="12.75">
      <c r="A20" s="7" t="s">
        <v>218</v>
      </c>
      <c r="B20" s="297">
        <f>SUM(B16:B19)</f>
        <v>1000</v>
      </c>
      <c r="C20" s="297">
        <f>SUM(C16:C19)</f>
        <v>1000</v>
      </c>
      <c r="D20" s="8">
        <f>SUM(D16:D19)</f>
        <v>1062.8177777777778</v>
      </c>
      <c r="E20" s="8">
        <f>SUM(E16:E19)</f>
        <v>1171.663111111111</v>
      </c>
      <c r="F20" s="8">
        <f>SUM(F16:F19)</f>
        <v>1171.663111111111</v>
      </c>
      <c r="G20" s="8">
        <f aca="true" t="shared" si="4" ref="G20:L20">SUM(G$16:G$19)</f>
        <v>1171.663111111111</v>
      </c>
      <c r="H20" s="8">
        <f t="shared" si="4"/>
        <v>1171.663111111111</v>
      </c>
      <c r="I20" s="8">
        <f t="shared" si="4"/>
        <v>1171.663111111111</v>
      </c>
      <c r="J20" s="8">
        <f t="shared" si="4"/>
        <v>1171.663111111111</v>
      </c>
      <c r="K20" s="8">
        <f t="shared" si="4"/>
        <v>1171.663111111111</v>
      </c>
      <c r="L20" s="8">
        <f t="shared" si="4"/>
        <v>1171.663111111111</v>
      </c>
      <c r="M20" s="48"/>
    </row>
    <row r="21" spans="1:13" ht="12.75">
      <c r="A21" s="7" t="s">
        <v>219</v>
      </c>
      <c r="B21" s="297">
        <f aca="true" t="shared" si="5" ref="B21:L21">IF(B20-B$12&gt;0,B20-B$12,0)</f>
        <v>0</v>
      </c>
      <c r="C21" s="297">
        <f t="shared" si="5"/>
        <v>0</v>
      </c>
      <c r="D21" s="8">
        <f t="shared" si="5"/>
        <v>62.81777777777779</v>
      </c>
      <c r="E21" s="8">
        <f t="shared" si="5"/>
        <v>171.663111111111</v>
      </c>
      <c r="F21" s="8">
        <f t="shared" si="5"/>
        <v>171.663111111111</v>
      </c>
      <c r="G21" s="8">
        <f t="shared" si="5"/>
        <v>171.663111111111</v>
      </c>
      <c r="H21" s="8">
        <f t="shared" si="5"/>
        <v>171.663111111111</v>
      </c>
      <c r="I21" s="8">
        <f t="shared" si="5"/>
        <v>171.663111111111</v>
      </c>
      <c r="J21" s="8">
        <f t="shared" si="5"/>
        <v>171.663111111111</v>
      </c>
      <c r="K21" s="8">
        <f t="shared" si="5"/>
        <v>171.663111111111</v>
      </c>
      <c r="L21" s="8">
        <f t="shared" si="5"/>
        <v>171.663111111111</v>
      </c>
      <c r="M21" s="48"/>
    </row>
    <row r="22" spans="1:13" ht="12.75">
      <c r="A22" s="10" t="s">
        <v>220</v>
      </c>
      <c r="B22" s="22">
        <f>B20-B21</f>
        <v>1000</v>
      </c>
      <c r="C22" s="23">
        <f>C20-C21</f>
        <v>1000</v>
      </c>
      <c r="D22" s="23">
        <f>D20-D21</f>
        <v>1000</v>
      </c>
      <c r="E22" s="23">
        <f>E20-E21</f>
        <v>1000</v>
      </c>
      <c r="F22" s="23">
        <f>F20-F21</f>
        <v>1000</v>
      </c>
      <c r="G22" s="23">
        <f aca="true" t="shared" si="6" ref="G22:L22">G$20-G$21</f>
        <v>1000</v>
      </c>
      <c r="H22" s="23">
        <f t="shared" si="6"/>
        <v>1000</v>
      </c>
      <c r="I22" s="23">
        <f t="shared" si="6"/>
        <v>1000</v>
      </c>
      <c r="J22" s="23">
        <f t="shared" si="6"/>
        <v>1000</v>
      </c>
      <c r="K22" s="23">
        <f t="shared" si="6"/>
        <v>1000</v>
      </c>
      <c r="L22" s="23">
        <f t="shared" si="6"/>
        <v>1000</v>
      </c>
      <c r="M22" s="48"/>
    </row>
    <row r="23" spans="1:13" ht="12.75">
      <c r="A23" s="7" t="s">
        <v>23</v>
      </c>
      <c r="B23" s="13"/>
      <c r="C23" s="13"/>
      <c r="D23" s="8"/>
      <c r="E23" s="8"/>
      <c r="F23" s="8"/>
      <c r="G23" s="8"/>
      <c r="H23" s="8"/>
      <c r="I23" s="8"/>
      <c r="J23" s="8"/>
      <c r="K23" s="8"/>
      <c r="L23" s="8"/>
      <c r="M23" s="48"/>
    </row>
    <row r="24" spans="1:13" ht="12.75">
      <c r="A24" s="7" t="s">
        <v>221</v>
      </c>
      <c r="B24" s="297">
        <f>C$6*B17</f>
        <v>0</v>
      </c>
      <c r="C24" s="297"/>
      <c r="D24" s="8">
        <f aca="true" t="shared" si="7" ref="D24:L24">D$6*(D$22-D$16-D$18-D$19)</f>
        <v>90</v>
      </c>
      <c r="E24" s="8">
        <f t="shared" si="7"/>
        <v>90</v>
      </c>
      <c r="F24" s="8">
        <f t="shared" si="7"/>
        <v>90</v>
      </c>
      <c r="G24" s="8">
        <f t="shared" si="7"/>
        <v>90</v>
      </c>
      <c r="H24" s="8">
        <f t="shared" si="7"/>
        <v>90</v>
      </c>
      <c r="I24" s="8">
        <f t="shared" si="7"/>
        <v>90</v>
      </c>
      <c r="J24" s="8">
        <f t="shared" si="7"/>
        <v>90</v>
      </c>
      <c r="K24" s="8">
        <f t="shared" si="7"/>
        <v>90</v>
      </c>
      <c r="L24" s="8">
        <f t="shared" si="7"/>
        <v>90</v>
      </c>
      <c r="M24" s="48"/>
    </row>
    <row r="25" spans="1:13" ht="12.75">
      <c r="A25" s="7" t="s">
        <v>222</v>
      </c>
      <c r="B25" s="297">
        <f>C7*B16</f>
        <v>0</v>
      </c>
      <c r="C25" s="297"/>
      <c r="D25" s="8">
        <f aca="true" t="shared" si="8" ref="D25:L25">D$7*(D$22-(D$17-D$21)-D$18-D$19)</f>
        <v>210</v>
      </c>
      <c r="E25" s="8">
        <f t="shared" si="8"/>
        <v>209.99999999999997</v>
      </c>
      <c r="F25" s="8">
        <f t="shared" si="8"/>
        <v>210</v>
      </c>
      <c r="G25" s="8">
        <f t="shared" si="8"/>
        <v>210</v>
      </c>
      <c r="H25" s="8">
        <f t="shared" si="8"/>
        <v>210</v>
      </c>
      <c r="I25" s="8">
        <f t="shared" si="8"/>
        <v>210</v>
      </c>
      <c r="J25" s="8">
        <f t="shared" si="8"/>
        <v>210</v>
      </c>
      <c r="K25" s="8">
        <f t="shared" si="8"/>
        <v>210</v>
      </c>
      <c r="L25" s="8">
        <f t="shared" si="8"/>
        <v>210</v>
      </c>
      <c r="M25" s="48"/>
    </row>
    <row r="26" spans="1:13" ht="12.75">
      <c r="A26" s="10" t="s">
        <v>223</v>
      </c>
      <c r="B26" s="301">
        <f>C$8*(B$18+B$19)</f>
        <v>300</v>
      </c>
      <c r="C26" s="301"/>
      <c r="D26" s="14">
        <f aca="true" t="shared" si="9" ref="D26:L26">D$8*(D$18+D$19)</f>
        <v>0</v>
      </c>
      <c r="E26" s="14">
        <f t="shared" si="9"/>
        <v>0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0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48"/>
    </row>
    <row r="27" spans="1:13" ht="12.75">
      <c r="A27" s="7" t="s">
        <v>24</v>
      </c>
      <c r="B27" s="297">
        <f>(1-C$11)*B22*(1-C$9)*12/C$13</f>
        <v>385.3333333333333</v>
      </c>
      <c r="C27" s="297">
        <f>(1-C11)*(C18+C19)*(1-C$9)*12/C$13</f>
        <v>115.6</v>
      </c>
      <c r="D27" s="8">
        <f>(1-D11)*(D22+D24+D25+D26)*(1-D$9)*12/D$13</f>
        <v>500.9333333333333</v>
      </c>
      <c r="E27" s="8">
        <f aca="true" t="shared" si="10" ref="E27:L27">(1-E11)*(E22+E24+E25+E26)*(1-E$9)*12/E$13</f>
        <v>500.9333333333333</v>
      </c>
      <c r="F27" s="8">
        <f t="shared" si="10"/>
        <v>500.9333333333333</v>
      </c>
      <c r="G27" s="8">
        <f t="shared" si="10"/>
        <v>500.9333333333333</v>
      </c>
      <c r="H27" s="8">
        <f t="shared" si="10"/>
        <v>500.9333333333333</v>
      </c>
      <c r="I27" s="8">
        <f t="shared" si="10"/>
        <v>500.9333333333333</v>
      </c>
      <c r="J27" s="8">
        <f t="shared" si="10"/>
        <v>500.9333333333333</v>
      </c>
      <c r="K27" s="8">
        <f t="shared" si="10"/>
        <v>500.9333333333333</v>
      </c>
      <c r="L27" s="8">
        <f t="shared" si="10"/>
        <v>500.9333333333333</v>
      </c>
      <c r="M27" s="48"/>
    </row>
    <row r="28" spans="1:13" ht="12.75">
      <c r="A28" s="7" t="s">
        <v>25</v>
      </c>
      <c r="B28" s="297">
        <f>C11*B22*(1-C$9)*12/C$13</f>
        <v>370.22222222222223</v>
      </c>
      <c r="C28" s="297">
        <f>C11*(C18+C19)*(1-C$9)*12/C$13</f>
        <v>111.06666666666668</v>
      </c>
      <c r="D28" s="8">
        <f>D11*(D22+D24+D25+D26)*(1-D$9)*12/D$13</f>
        <v>481.28888888888883</v>
      </c>
      <c r="E28" s="8">
        <f aca="true" t="shared" si="11" ref="E28:L28">E11*(E22+E24+E25+E26)*(1-E$9)*12/E$13</f>
        <v>481.28888888888883</v>
      </c>
      <c r="F28" s="8">
        <f t="shared" si="11"/>
        <v>481.28888888888883</v>
      </c>
      <c r="G28" s="8">
        <f t="shared" si="11"/>
        <v>481.28888888888883</v>
      </c>
      <c r="H28" s="8">
        <f t="shared" si="11"/>
        <v>481.28888888888883</v>
      </c>
      <c r="I28" s="8">
        <f t="shared" si="11"/>
        <v>481.28888888888883</v>
      </c>
      <c r="J28" s="8">
        <f t="shared" si="11"/>
        <v>481.28888888888883</v>
      </c>
      <c r="K28" s="8">
        <f t="shared" si="11"/>
        <v>481.28888888888883</v>
      </c>
      <c r="L28" s="8">
        <f t="shared" si="11"/>
        <v>481.28888888888883</v>
      </c>
      <c r="M28" s="48"/>
    </row>
    <row r="29" spans="1:13" ht="12.75">
      <c r="A29" s="10" t="s">
        <v>26</v>
      </c>
      <c r="B29" s="298">
        <v>0</v>
      </c>
      <c r="C29" s="301">
        <f>IF(LEFT($B$30,1)="n",0,B28)</f>
        <v>370.22222222222223</v>
      </c>
      <c r="D29" s="14">
        <f>IF(LEFT($B$30,1)="n",0,(B28+C28))</f>
        <v>481.2888888888889</v>
      </c>
      <c r="E29" s="14">
        <f>IF(LEFT($B$30,1)="n",0,D28)</f>
        <v>481.28888888888883</v>
      </c>
      <c r="F29" s="14">
        <f aca="true" t="shared" si="12" ref="F29:L29">IF(LEFT($B$30,1)="n",0,E28)</f>
        <v>481.28888888888883</v>
      </c>
      <c r="G29" s="14">
        <f t="shared" si="12"/>
        <v>481.28888888888883</v>
      </c>
      <c r="H29" s="14">
        <f t="shared" si="12"/>
        <v>481.28888888888883</v>
      </c>
      <c r="I29" s="14">
        <f t="shared" si="12"/>
        <v>481.28888888888883</v>
      </c>
      <c r="J29" s="14">
        <f t="shared" si="12"/>
        <v>481.28888888888883</v>
      </c>
      <c r="K29" s="14">
        <f t="shared" si="12"/>
        <v>481.28888888888883</v>
      </c>
      <c r="L29" s="14">
        <f t="shared" si="12"/>
        <v>481.28888888888883</v>
      </c>
      <c r="M29" s="48"/>
    </row>
    <row r="30" spans="1:12" ht="12.75">
      <c r="A30" s="302" t="s">
        <v>224</v>
      </c>
      <c r="B30" s="303" t="s">
        <v>239</v>
      </c>
      <c r="C30" s="304"/>
      <c r="D30" s="304"/>
      <c r="E30" s="304"/>
      <c r="F30" s="304"/>
      <c r="G30" s="304"/>
      <c r="H30" s="305"/>
      <c r="I30" s="305"/>
      <c r="J30" s="305"/>
      <c r="K30" s="305"/>
      <c r="L30" s="305"/>
    </row>
    <row r="31" spans="1:6" ht="12.75">
      <c r="A31" s="306" t="s">
        <v>225</v>
      </c>
      <c r="B31" s="307"/>
      <c r="C31" s="307"/>
      <c r="D31" s="307"/>
      <c r="E31" s="307"/>
      <c r="F31" s="307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84" r:id="rId3"/>
  <headerFooter alignWithMargins="0">
    <oddFooter xml:space="preserve">&amp;R&amp;8[&amp;F], &amp;A
&amp;D  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PageLayoutView="0" workbookViewId="0" topLeftCell="A1">
      <selection activeCell="B3" sqref="B3"/>
    </sheetView>
  </sheetViews>
  <sheetFormatPr defaultColWidth="11.00390625" defaultRowHeight="12.75"/>
  <cols>
    <col min="1" max="1" width="23.57421875" style="3" customWidth="1"/>
    <col min="2" max="11" width="6.7109375" style="3" customWidth="1"/>
    <col min="12" max="16384" width="11.00390625" style="3" customWidth="1"/>
  </cols>
  <sheetData>
    <row r="1" spans="1:7" s="2" customFormat="1" ht="17.25">
      <c r="A1" s="1" t="s">
        <v>201</v>
      </c>
      <c r="G1" s="274" t="s">
        <v>202</v>
      </c>
    </row>
    <row r="2" ht="12.75">
      <c r="G2" s="291" t="s">
        <v>203</v>
      </c>
    </row>
    <row r="3" spans="1:4" ht="12.75">
      <c r="A3" s="270" t="s">
        <v>204</v>
      </c>
      <c r="B3" s="275">
        <v>250</v>
      </c>
      <c r="D3" s="269" t="s">
        <v>227</v>
      </c>
    </row>
    <row r="4" spans="1:12" ht="12.75">
      <c r="A4" s="4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6" t="s">
        <v>9</v>
      </c>
      <c r="L4" s="48"/>
    </row>
    <row r="5" spans="1:12" ht="12.75">
      <c r="A5" s="24" t="s">
        <v>10</v>
      </c>
      <c r="B5" s="25"/>
      <c r="C5" s="25"/>
      <c r="D5" s="25"/>
      <c r="E5" s="25"/>
      <c r="F5" s="25"/>
      <c r="G5" s="25"/>
      <c r="H5" s="25"/>
      <c r="I5" s="25"/>
      <c r="J5" s="25"/>
      <c r="K5" s="26"/>
      <c r="L5" s="48"/>
    </row>
    <row r="6" spans="1:12" ht="12.75">
      <c r="A6" s="7" t="s">
        <v>11</v>
      </c>
      <c r="B6" s="18">
        <v>0.25</v>
      </c>
      <c r="C6" s="18">
        <v>0.25</v>
      </c>
      <c r="D6" s="18">
        <v>0.25</v>
      </c>
      <c r="E6" s="18">
        <v>0.25</v>
      </c>
      <c r="F6" s="18">
        <v>0.25</v>
      </c>
      <c r="G6" s="18">
        <v>0.25</v>
      </c>
      <c r="H6" s="18">
        <v>0.25</v>
      </c>
      <c r="I6" s="18">
        <v>0.25</v>
      </c>
      <c r="J6" s="18">
        <v>0.25</v>
      </c>
      <c r="K6" s="27">
        <v>0.25</v>
      </c>
      <c r="L6" s="48"/>
    </row>
    <row r="7" spans="1:12" ht="12.75">
      <c r="A7" s="7" t="s">
        <v>12</v>
      </c>
      <c r="B7" s="18">
        <v>0.3</v>
      </c>
      <c r="C7" s="18">
        <v>0.3</v>
      </c>
      <c r="D7" s="18">
        <v>0.3</v>
      </c>
      <c r="E7" s="18">
        <v>0.3</v>
      </c>
      <c r="F7" s="18">
        <v>0.3</v>
      </c>
      <c r="G7" s="18">
        <v>0.3</v>
      </c>
      <c r="H7" s="18">
        <v>0.3</v>
      </c>
      <c r="I7" s="18">
        <v>0.3</v>
      </c>
      <c r="J7" s="18">
        <v>0.3</v>
      </c>
      <c r="K7" s="27">
        <v>0.3</v>
      </c>
      <c r="L7" s="48"/>
    </row>
    <row r="8" spans="1:12" ht="12.75">
      <c r="A8" s="7" t="s">
        <v>13</v>
      </c>
      <c r="B8" s="18">
        <v>0.4</v>
      </c>
      <c r="C8" s="18">
        <v>0.4</v>
      </c>
      <c r="D8" s="18">
        <v>0.4</v>
      </c>
      <c r="E8" s="18">
        <v>0.4</v>
      </c>
      <c r="F8" s="18">
        <v>0.4</v>
      </c>
      <c r="G8" s="18">
        <v>0.4</v>
      </c>
      <c r="H8" s="18">
        <v>0.4</v>
      </c>
      <c r="I8" s="18">
        <v>0.4</v>
      </c>
      <c r="J8" s="18">
        <v>0.4</v>
      </c>
      <c r="K8" s="27">
        <v>0.4</v>
      </c>
      <c r="L8" s="48"/>
    </row>
    <row r="9" spans="1:12" ht="12.75">
      <c r="A9" s="7" t="s">
        <v>212</v>
      </c>
      <c r="B9" s="18">
        <v>0.15</v>
      </c>
      <c r="C9" s="18">
        <v>0.15</v>
      </c>
      <c r="D9" s="18">
        <v>0.15</v>
      </c>
      <c r="E9" s="18">
        <v>0.15</v>
      </c>
      <c r="F9" s="18">
        <v>0.15</v>
      </c>
      <c r="G9" s="18">
        <v>0.15</v>
      </c>
      <c r="H9" s="18">
        <v>0.15</v>
      </c>
      <c r="I9" s="18">
        <v>0.15</v>
      </c>
      <c r="J9" s="18">
        <v>0.15</v>
      </c>
      <c r="K9" s="27">
        <v>0.15</v>
      </c>
      <c r="L9" s="48"/>
    </row>
    <row r="10" spans="1:12" ht="12.75">
      <c r="A10" s="7" t="s">
        <v>213</v>
      </c>
      <c r="B10" s="18">
        <v>0.02</v>
      </c>
      <c r="C10" s="18">
        <v>0.02</v>
      </c>
      <c r="D10" s="18">
        <v>0.02</v>
      </c>
      <c r="E10" s="18">
        <v>0.02</v>
      </c>
      <c r="F10" s="18">
        <v>0.02</v>
      </c>
      <c r="G10" s="18">
        <v>0.02</v>
      </c>
      <c r="H10" s="18">
        <v>0.02</v>
      </c>
      <c r="I10" s="18">
        <v>0.02</v>
      </c>
      <c r="J10" s="18">
        <v>0.02</v>
      </c>
      <c r="K10" s="27">
        <v>0.02</v>
      </c>
      <c r="L10" s="48"/>
    </row>
    <row r="11" spans="1:12" ht="12.75">
      <c r="A11" s="7" t="s">
        <v>214</v>
      </c>
      <c r="B11" s="18">
        <v>0.49</v>
      </c>
      <c r="C11" s="18">
        <v>0.49</v>
      </c>
      <c r="D11" s="18">
        <v>0.49</v>
      </c>
      <c r="E11" s="18">
        <v>0.49</v>
      </c>
      <c r="F11" s="18">
        <v>0.49</v>
      </c>
      <c r="G11" s="18">
        <v>0.49</v>
      </c>
      <c r="H11" s="18">
        <v>0.49</v>
      </c>
      <c r="I11" s="18">
        <v>0.49</v>
      </c>
      <c r="J11" s="18">
        <v>0.49</v>
      </c>
      <c r="K11" s="27">
        <v>0.49</v>
      </c>
      <c r="L11" s="48"/>
    </row>
    <row r="12" spans="1:12" ht="12.75">
      <c r="A12" s="7" t="s">
        <v>14</v>
      </c>
      <c r="B12" s="277">
        <v>500</v>
      </c>
      <c r="C12" s="278">
        <v>500</v>
      </c>
      <c r="D12" s="278">
        <v>500</v>
      </c>
      <c r="E12" s="278">
        <v>500</v>
      </c>
      <c r="F12" s="278">
        <v>500</v>
      </c>
      <c r="G12" s="278">
        <v>500</v>
      </c>
      <c r="H12" s="278">
        <v>500</v>
      </c>
      <c r="I12" s="278">
        <v>500</v>
      </c>
      <c r="J12" s="278">
        <v>500</v>
      </c>
      <c r="K12" s="279">
        <v>500</v>
      </c>
      <c r="L12" s="48"/>
    </row>
    <row r="13" spans="1:12" ht="12.75">
      <c r="A13" s="10" t="s">
        <v>15</v>
      </c>
      <c r="B13" s="28">
        <v>13.5</v>
      </c>
      <c r="C13" s="28">
        <v>13.5</v>
      </c>
      <c r="D13" s="28">
        <v>13.5</v>
      </c>
      <c r="E13" s="28">
        <v>13.5</v>
      </c>
      <c r="F13" s="28">
        <v>13.5</v>
      </c>
      <c r="G13" s="28">
        <v>13.5</v>
      </c>
      <c r="H13" s="28">
        <v>13.5</v>
      </c>
      <c r="I13" s="28">
        <v>13.5</v>
      </c>
      <c r="J13" s="28">
        <v>13.5</v>
      </c>
      <c r="K13" s="29">
        <v>13.5</v>
      </c>
      <c r="L13" s="48"/>
    </row>
    <row r="15" spans="1:12" ht="12.75">
      <c r="A15" s="4"/>
      <c r="B15" s="5" t="s">
        <v>0</v>
      </c>
      <c r="C15" s="5" t="s">
        <v>1</v>
      </c>
      <c r="D15" s="5" t="s">
        <v>2</v>
      </c>
      <c r="E15" s="5" t="s">
        <v>3</v>
      </c>
      <c r="F15" s="5" t="s">
        <v>4</v>
      </c>
      <c r="G15" s="5" t="s">
        <v>5</v>
      </c>
      <c r="H15" s="5" t="s">
        <v>6</v>
      </c>
      <c r="I15" s="5" t="s">
        <v>7</v>
      </c>
      <c r="J15" s="5" t="s">
        <v>8</v>
      </c>
      <c r="K15" s="5" t="s">
        <v>9</v>
      </c>
      <c r="L15" s="48"/>
    </row>
    <row r="16" spans="1:12" ht="12.75">
      <c r="A16" s="7" t="s">
        <v>16</v>
      </c>
      <c r="B16" s="8">
        <f>$B$3*(1-B7)</f>
        <v>175</v>
      </c>
      <c r="C16" s="8">
        <f aca="true" t="shared" si="0" ref="C16:K16">B$22-B$24-B$25-B$26</f>
        <v>328.33333333333337</v>
      </c>
      <c r="D16" s="8">
        <f t="shared" si="0"/>
        <v>341.98351851851857</v>
      </c>
      <c r="E16" s="8">
        <f t="shared" si="0"/>
        <v>357.9008240740741</v>
      </c>
      <c r="F16" s="8">
        <f t="shared" si="0"/>
        <v>357.1049587962963</v>
      </c>
      <c r="G16" s="8">
        <f t="shared" si="0"/>
        <v>357.14475206018517</v>
      </c>
      <c r="H16" s="8">
        <f t="shared" si="0"/>
        <v>357.14276239699075</v>
      </c>
      <c r="I16" s="8">
        <f t="shared" si="0"/>
        <v>357.14286188015046</v>
      </c>
      <c r="J16" s="8">
        <f t="shared" si="0"/>
        <v>357.1428569059925</v>
      </c>
      <c r="K16" s="8">
        <f t="shared" si="0"/>
        <v>357.14285715470044</v>
      </c>
      <c r="L16" s="48"/>
    </row>
    <row r="17" spans="1:12" ht="12.75">
      <c r="A17" s="7" t="s">
        <v>17</v>
      </c>
      <c r="B17" s="8">
        <f>$B$3*0.5*(1-$B$9)*12/B13</f>
        <v>94.44444444444444</v>
      </c>
      <c r="C17" s="8">
        <f>B29</f>
        <v>120.73358024691358</v>
      </c>
      <c r="D17" s="8">
        <f>C29</f>
        <v>239.66129876543206</v>
      </c>
      <c r="E17" s="8">
        <f>D29</f>
        <v>227.9040990919067</v>
      </c>
      <c r="F17" s="8">
        <f aca="true" t="shared" si="1" ref="F17:K17">E$29</f>
        <v>232.96499612238682</v>
      </c>
      <c r="G17" s="8">
        <f t="shared" si="1"/>
        <v>233.25375019388065</v>
      </c>
      <c r="H17" s="8">
        <f t="shared" si="1"/>
        <v>233.23931249030596</v>
      </c>
      <c r="I17" s="8">
        <f t="shared" si="1"/>
        <v>233.24003437548464</v>
      </c>
      <c r="J17" s="8">
        <f t="shared" si="1"/>
        <v>233.23999828122578</v>
      </c>
      <c r="K17" s="8">
        <f t="shared" si="1"/>
        <v>233.2400000859387</v>
      </c>
      <c r="L17" s="48"/>
    </row>
    <row r="18" spans="1:12" ht="12.75">
      <c r="A18" s="7" t="s">
        <v>18</v>
      </c>
      <c r="B18" s="280">
        <v>225</v>
      </c>
      <c r="C18" s="281">
        <v>36</v>
      </c>
      <c r="D18" s="281"/>
      <c r="E18" s="281"/>
      <c r="F18" s="281"/>
      <c r="G18" s="281"/>
      <c r="H18" s="281"/>
      <c r="I18" s="281"/>
      <c r="J18" s="281"/>
      <c r="K18" s="281"/>
      <c r="L18" s="48"/>
    </row>
    <row r="19" spans="1:12" ht="12.75">
      <c r="A19" s="10" t="s">
        <v>19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48"/>
    </row>
    <row r="20" spans="1:12" ht="12.75">
      <c r="A20" s="7" t="s">
        <v>20</v>
      </c>
      <c r="B20" s="8">
        <f>SUM(B16:B19)</f>
        <v>494.44444444444446</v>
      </c>
      <c r="C20" s="8">
        <f>SUM(C16:C19)</f>
        <v>485.06691358024693</v>
      </c>
      <c r="D20" s="8">
        <f>SUM(D16:D19)</f>
        <v>581.6448172839506</v>
      </c>
      <c r="E20" s="8">
        <f>SUM(E16:E19)</f>
        <v>585.8049231659808</v>
      </c>
      <c r="F20" s="8">
        <f aca="true" t="shared" si="2" ref="F20:K20">SUM(F$16:F$19)</f>
        <v>590.0699549186832</v>
      </c>
      <c r="G20" s="8">
        <f t="shared" si="2"/>
        <v>590.3985022540658</v>
      </c>
      <c r="H20" s="8">
        <f t="shared" si="2"/>
        <v>590.3820748872968</v>
      </c>
      <c r="I20" s="8">
        <f t="shared" si="2"/>
        <v>590.3828962556352</v>
      </c>
      <c r="J20" s="8">
        <f t="shared" si="2"/>
        <v>590.3828551872183</v>
      </c>
      <c r="K20" s="8">
        <f t="shared" si="2"/>
        <v>590.3828572406392</v>
      </c>
      <c r="L20" s="48"/>
    </row>
    <row r="21" spans="1:12" ht="12.75">
      <c r="A21" s="7" t="s">
        <v>21</v>
      </c>
      <c r="B21" s="8">
        <f aca="true" t="shared" si="3" ref="B21:K21">IF(B20-B$12&gt;0,B20-B$12,0)</f>
        <v>0</v>
      </c>
      <c r="C21" s="8">
        <f t="shared" si="3"/>
        <v>0</v>
      </c>
      <c r="D21" s="8">
        <f t="shared" si="3"/>
        <v>81.6448172839506</v>
      </c>
      <c r="E21" s="8">
        <f t="shared" si="3"/>
        <v>85.80492316598077</v>
      </c>
      <c r="F21" s="8">
        <f t="shared" si="3"/>
        <v>90.06995491868315</v>
      </c>
      <c r="G21" s="8">
        <f t="shared" si="3"/>
        <v>90.39850225406576</v>
      </c>
      <c r="H21" s="8">
        <f t="shared" si="3"/>
        <v>90.38207488729677</v>
      </c>
      <c r="I21" s="8">
        <f t="shared" si="3"/>
        <v>90.38289625563516</v>
      </c>
      <c r="J21" s="8">
        <f t="shared" si="3"/>
        <v>90.3828551872183</v>
      </c>
      <c r="K21" s="8">
        <f t="shared" si="3"/>
        <v>90.38285724063917</v>
      </c>
      <c r="L21" s="48"/>
    </row>
    <row r="22" spans="1:12" ht="12.75">
      <c r="A22" s="10" t="s">
        <v>22</v>
      </c>
      <c r="B22" s="282">
        <f>B20-B21</f>
        <v>494.44444444444446</v>
      </c>
      <c r="C22" s="282">
        <f>C20-C21</f>
        <v>485.06691358024693</v>
      </c>
      <c r="D22" s="282">
        <f>D20-D21</f>
        <v>500</v>
      </c>
      <c r="E22" s="282">
        <f>E20-E21</f>
        <v>500</v>
      </c>
      <c r="F22" s="282">
        <f aca="true" t="shared" si="4" ref="F22:K22">F$20-F$21</f>
        <v>500</v>
      </c>
      <c r="G22" s="282">
        <f t="shared" si="4"/>
        <v>500</v>
      </c>
      <c r="H22" s="282">
        <f t="shared" si="4"/>
        <v>500</v>
      </c>
      <c r="I22" s="282">
        <f t="shared" si="4"/>
        <v>500</v>
      </c>
      <c r="J22" s="282">
        <f t="shared" si="4"/>
        <v>500</v>
      </c>
      <c r="K22" s="282">
        <f t="shared" si="4"/>
        <v>500</v>
      </c>
      <c r="L22" s="48"/>
    </row>
    <row r="23" spans="1:12" ht="12.75">
      <c r="A23" s="7" t="s">
        <v>23</v>
      </c>
      <c r="B23" s="13"/>
      <c r="C23" s="8"/>
      <c r="D23" s="8"/>
      <c r="E23" s="8"/>
      <c r="F23" s="8"/>
      <c r="G23" s="8"/>
      <c r="H23" s="8"/>
      <c r="I23" s="8"/>
      <c r="J23" s="8"/>
      <c r="K23" s="8"/>
      <c r="L23" s="48"/>
    </row>
    <row r="24" spans="1:12" ht="12.75">
      <c r="A24" s="7" t="s">
        <v>205</v>
      </c>
      <c r="B24" s="8">
        <f aca="true" t="shared" si="5" ref="B24:K24">B$6*(B$22-B$16-B$18-B$19)</f>
        <v>23.611111111111114</v>
      </c>
      <c r="C24" s="8">
        <f t="shared" si="5"/>
        <v>30.18339506172839</v>
      </c>
      <c r="D24" s="8">
        <f t="shared" si="5"/>
        <v>39.50412037037036</v>
      </c>
      <c r="E24" s="8">
        <f t="shared" si="5"/>
        <v>35.52479398148148</v>
      </c>
      <c r="F24" s="8">
        <f t="shared" si="5"/>
        <v>35.72376030092593</v>
      </c>
      <c r="G24" s="8">
        <f t="shared" si="5"/>
        <v>35.71381198495371</v>
      </c>
      <c r="H24" s="8">
        <f t="shared" si="5"/>
        <v>35.71430940075231</v>
      </c>
      <c r="I24" s="8">
        <f t="shared" si="5"/>
        <v>35.714284529962384</v>
      </c>
      <c r="J24" s="8">
        <f t="shared" si="5"/>
        <v>35.71428577350187</v>
      </c>
      <c r="K24" s="8">
        <f t="shared" si="5"/>
        <v>35.71428571132489</v>
      </c>
      <c r="L24" s="48"/>
    </row>
    <row r="25" spans="1:12" ht="12.75">
      <c r="A25" s="7" t="s">
        <v>206</v>
      </c>
      <c r="B25" s="8">
        <f aca="true" t="shared" si="6" ref="B25:K25">B$7*(B$22-(B$17-B$21)-B$18-B$19)</f>
        <v>52.5</v>
      </c>
      <c r="C25" s="8">
        <f t="shared" si="6"/>
        <v>98.50000000000001</v>
      </c>
      <c r="D25" s="8">
        <f t="shared" si="6"/>
        <v>102.59505555555555</v>
      </c>
      <c r="E25" s="8">
        <f t="shared" si="6"/>
        <v>107.37024722222222</v>
      </c>
      <c r="F25" s="8">
        <f t="shared" si="6"/>
        <v>107.1314876388889</v>
      </c>
      <c r="G25" s="8">
        <f t="shared" si="6"/>
        <v>107.14342561805553</v>
      </c>
      <c r="H25" s="8">
        <f t="shared" si="6"/>
        <v>107.14282871909724</v>
      </c>
      <c r="I25" s="8">
        <f t="shared" si="6"/>
        <v>107.14285856404516</v>
      </c>
      <c r="J25" s="8">
        <f t="shared" si="6"/>
        <v>107.14285707179775</v>
      </c>
      <c r="K25" s="8">
        <f t="shared" si="6"/>
        <v>107.14285714641012</v>
      </c>
      <c r="L25" s="48"/>
    </row>
    <row r="26" spans="1:12" ht="12.75">
      <c r="A26" s="10" t="s">
        <v>207</v>
      </c>
      <c r="B26" s="14">
        <f aca="true" t="shared" si="7" ref="B26:K26">B$8*(B$18+B$19)</f>
        <v>90</v>
      </c>
      <c r="C26" s="14">
        <f t="shared" si="7"/>
        <v>14.4</v>
      </c>
      <c r="D26" s="14">
        <f t="shared" si="7"/>
        <v>0</v>
      </c>
      <c r="E26" s="14">
        <f t="shared" si="7"/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48"/>
    </row>
    <row r="27" spans="1:12" ht="12.75">
      <c r="A27" s="7" t="s">
        <v>24</v>
      </c>
      <c r="B27" s="8">
        <f>(1-B$11)*(B22+B24+B25+B26)*(1-B$9)*12/B$13</f>
        <v>254.53407407407406</v>
      </c>
      <c r="C27" s="8">
        <f>(1-C11)*(C22+C24+C25+C26)*(1-C$9)*12/C$13</f>
        <v>242.0472522633745</v>
      </c>
      <c r="D27" s="8">
        <f aca="true" t="shared" si="8" ref="D27:K27">(1-D11)*(D22+D24+D25+D26)*(1-D$9)*12/D$13</f>
        <v>247.4222157901235</v>
      </c>
      <c r="E27" s="8">
        <f t="shared" si="8"/>
        <v>247.72888921049383</v>
      </c>
      <c r="F27" s="8">
        <f t="shared" si="8"/>
        <v>247.71355553947527</v>
      </c>
      <c r="G27" s="8">
        <f t="shared" si="8"/>
        <v>247.71432222302624</v>
      </c>
      <c r="H27" s="8">
        <f t="shared" si="8"/>
        <v>247.71428388884866</v>
      </c>
      <c r="I27" s="8">
        <f t="shared" si="8"/>
        <v>247.71428580555752</v>
      </c>
      <c r="J27" s="8">
        <f t="shared" si="8"/>
        <v>247.71428570972208</v>
      </c>
      <c r="K27" s="8">
        <f t="shared" si="8"/>
        <v>247.71428571451392</v>
      </c>
      <c r="L27" s="48"/>
    </row>
    <row r="28" spans="1:12" ht="12.75">
      <c r="A28" s="7" t="s">
        <v>25</v>
      </c>
      <c r="B28" s="8">
        <f>B11*(B22+B24+B25+B26)*(1-B$9)*12/B$13</f>
        <v>244.55234567901232</v>
      </c>
      <c r="C28" s="8">
        <f>C11*(C22+C24+C25+C26)*(1-C$9)*12/C$13</f>
        <v>232.55520315500684</v>
      </c>
      <c r="D28" s="8">
        <f aca="true" t="shared" si="9" ref="D28:K28">D11*(D22+D24+D25+D26)*(1-D$9)*12/D$13</f>
        <v>237.7193837983539</v>
      </c>
      <c r="E28" s="8">
        <f t="shared" si="9"/>
        <v>238.0140308100823</v>
      </c>
      <c r="F28" s="8">
        <f t="shared" si="9"/>
        <v>237.9992984594959</v>
      </c>
      <c r="G28" s="8">
        <f t="shared" si="9"/>
        <v>238.00003507702516</v>
      </c>
      <c r="H28" s="8">
        <f t="shared" si="9"/>
        <v>237.99999824614875</v>
      </c>
      <c r="I28" s="8">
        <f t="shared" si="9"/>
        <v>238.00000008769257</v>
      </c>
      <c r="J28" s="8">
        <f t="shared" si="9"/>
        <v>237.99999999561535</v>
      </c>
      <c r="K28" s="8">
        <f t="shared" si="9"/>
        <v>238.00000000021922</v>
      </c>
      <c r="L28" s="48"/>
    </row>
    <row r="29" spans="1:12" ht="12.75">
      <c r="A29" s="10" t="s">
        <v>26</v>
      </c>
      <c r="B29" s="14">
        <f>($B$3+B24+B25)*B11*(1-B$9)*12/B13</f>
        <v>120.73358024691358</v>
      </c>
      <c r="C29" s="14">
        <f aca="true" t="shared" si="10" ref="C29:K29">(1-B10)*B28</f>
        <v>239.66129876543206</v>
      </c>
      <c r="D29" s="14">
        <f t="shared" si="10"/>
        <v>227.9040990919067</v>
      </c>
      <c r="E29" s="14">
        <f t="shared" si="10"/>
        <v>232.96499612238682</v>
      </c>
      <c r="F29" s="14">
        <f t="shared" si="10"/>
        <v>233.25375019388065</v>
      </c>
      <c r="G29" s="14">
        <f t="shared" si="10"/>
        <v>233.23931249030596</v>
      </c>
      <c r="H29" s="14">
        <f t="shared" si="10"/>
        <v>233.24003437548464</v>
      </c>
      <c r="I29" s="14">
        <f t="shared" si="10"/>
        <v>233.23999828122578</v>
      </c>
      <c r="J29" s="14">
        <f t="shared" si="10"/>
        <v>233.2400000859387</v>
      </c>
      <c r="K29" s="14">
        <f t="shared" si="10"/>
        <v>233.23999999570304</v>
      </c>
      <c r="L29" s="48"/>
    </row>
    <row r="30" spans="1:6" ht="12.75">
      <c r="A30" s="16"/>
      <c r="B30" s="8"/>
      <c r="C30" s="8"/>
      <c r="D30" s="8"/>
      <c r="E30" s="8"/>
      <c r="F30" s="8"/>
    </row>
    <row r="32" s="17" customFormat="1" ht="17.25">
      <c r="A32" s="1" t="s">
        <v>208</v>
      </c>
    </row>
    <row r="34" spans="1:11" ht="12.75">
      <c r="A34" s="221" t="s">
        <v>204</v>
      </c>
      <c r="B34" s="284">
        <v>250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2.75">
      <c r="A35" s="4"/>
      <c r="B35" s="5" t="s">
        <v>0</v>
      </c>
      <c r="C35" s="5" t="s">
        <v>1</v>
      </c>
      <c r="D35" s="5" t="s">
        <v>2</v>
      </c>
      <c r="E35" s="5" t="s">
        <v>3</v>
      </c>
      <c r="F35" s="5" t="s">
        <v>4</v>
      </c>
      <c r="G35" s="5" t="s">
        <v>5</v>
      </c>
      <c r="H35" s="5" t="s">
        <v>6</v>
      </c>
      <c r="I35" s="5" t="s">
        <v>7</v>
      </c>
      <c r="J35" s="5" t="s">
        <v>8</v>
      </c>
      <c r="K35" s="6" t="s">
        <v>9</v>
      </c>
    </row>
    <row r="36" spans="1:12" ht="12.75">
      <c r="A36" s="16" t="s">
        <v>10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2.75">
      <c r="A37" s="16" t="s">
        <v>11</v>
      </c>
      <c r="B37" s="18">
        <v>0.25</v>
      </c>
      <c r="C37" s="18">
        <v>0.25</v>
      </c>
      <c r="D37" s="18">
        <v>0.25</v>
      </c>
      <c r="E37" s="18">
        <v>0.25</v>
      </c>
      <c r="F37" s="18">
        <v>0.25</v>
      </c>
      <c r="G37" s="18">
        <v>0.25</v>
      </c>
      <c r="H37" s="18">
        <v>0.25</v>
      </c>
      <c r="I37" s="18">
        <v>0.25</v>
      </c>
      <c r="J37" s="18">
        <v>0.25</v>
      </c>
      <c r="K37" s="18">
        <v>0.25</v>
      </c>
      <c r="L37" s="13"/>
    </row>
    <row r="38" spans="1:12" ht="12.75">
      <c r="A38" s="16" t="s">
        <v>12</v>
      </c>
      <c r="B38" s="18">
        <v>0.3</v>
      </c>
      <c r="C38" s="18">
        <v>0.3</v>
      </c>
      <c r="D38" s="18">
        <v>0.3</v>
      </c>
      <c r="E38" s="18">
        <v>0.3</v>
      </c>
      <c r="F38" s="18">
        <v>0.3</v>
      </c>
      <c r="G38" s="18">
        <v>0.3</v>
      </c>
      <c r="H38" s="18">
        <v>0.3</v>
      </c>
      <c r="I38" s="18">
        <v>0.3</v>
      </c>
      <c r="J38" s="18">
        <v>0.3</v>
      </c>
      <c r="K38" s="18">
        <v>0.3</v>
      </c>
      <c r="L38" s="13"/>
    </row>
    <row r="39" spans="1:12" ht="12.75">
      <c r="A39" s="16" t="s">
        <v>209</v>
      </c>
      <c r="B39" s="18">
        <v>0.4</v>
      </c>
      <c r="C39" s="18">
        <v>0.4</v>
      </c>
      <c r="D39" s="18">
        <v>0.4</v>
      </c>
      <c r="E39" s="18">
        <v>0.4</v>
      </c>
      <c r="F39" s="18">
        <v>0.4</v>
      </c>
      <c r="G39" s="18">
        <v>0.4</v>
      </c>
      <c r="H39" s="18">
        <v>0.4</v>
      </c>
      <c r="I39" s="18">
        <v>0.4</v>
      </c>
      <c r="J39" s="18">
        <v>0.4</v>
      </c>
      <c r="K39" s="18">
        <v>0.4</v>
      </c>
      <c r="L39" s="13"/>
    </row>
    <row r="40" spans="1:12" ht="12.75">
      <c r="A40" s="276" t="s">
        <v>212</v>
      </c>
      <c r="B40" s="18">
        <v>0.15</v>
      </c>
      <c r="C40" s="18">
        <v>0.15</v>
      </c>
      <c r="D40" s="18">
        <v>0.15</v>
      </c>
      <c r="E40" s="18">
        <v>0.15</v>
      </c>
      <c r="F40" s="18">
        <v>0.15</v>
      </c>
      <c r="G40" s="18">
        <v>0.15</v>
      </c>
      <c r="H40" s="18">
        <v>0.15</v>
      </c>
      <c r="I40" s="18">
        <v>0.15</v>
      </c>
      <c r="J40" s="18">
        <v>0.15</v>
      </c>
      <c r="K40" s="18">
        <v>0.15</v>
      </c>
      <c r="L40" s="13"/>
    </row>
    <row r="41" spans="1:12" ht="12.75">
      <c r="A41" s="276" t="s">
        <v>213</v>
      </c>
      <c r="B41" s="18">
        <v>0.02</v>
      </c>
      <c r="C41" s="18">
        <v>0.02</v>
      </c>
      <c r="D41" s="18">
        <v>0.02</v>
      </c>
      <c r="E41" s="18">
        <v>0.02</v>
      </c>
      <c r="F41" s="18">
        <v>0.02</v>
      </c>
      <c r="G41" s="18">
        <v>0.02</v>
      </c>
      <c r="H41" s="18">
        <v>0.02</v>
      </c>
      <c r="I41" s="18">
        <v>0.02</v>
      </c>
      <c r="J41" s="18">
        <v>0.02</v>
      </c>
      <c r="K41" s="18">
        <v>0.02</v>
      </c>
      <c r="L41" s="13"/>
    </row>
    <row r="42" spans="1:12" ht="12.75">
      <c r="A42" s="276" t="s">
        <v>214</v>
      </c>
      <c r="B42" s="18">
        <v>0.49</v>
      </c>
      <c r="C42" s="18">
        <v>0.49</v>
      </c>
      <c r="D42" s="18">
        <v>0.49</v>
      </c>
      <c r="E42" s="18">
        <v>0.49</v>
      </c>
      <c r="F42" s="18">
        <v>0.49</v>
      </c>
      <c r="G42" s="18">
        <v>0.49</v>
      </c>
      <c r="H42" s="18">
        <v>0.49</v>
      </c>
      <c r="I42" s="18">
        <v>0.49</v>
      </c>
      <c r="J42" s="18">
        <v>0.49</v>
      </c>
      <c r="K42" s="18">
        <v>0.49</v>
      </c>
      <c r="L42" s="13"/>
    </row>
    <row r="43" spans="1:12" ht="12.75">
      <c r="A43" s="16" t="s">
        <v>14</v>
      </c>
      <c r="B43" s="277">
        <v>250</v>
      </c>
      <c r="C43" s="278">
        <v>250</v>
      </c>
      <c r="D43" s="278">
        <v>250</v>
      </c>
      <c r="E43" s="278">
        <v>250</v>
      </c>
      <c r="F43" s="278">
        <v>250</v>
      </c>
      <c r="G43" s="278">
        <v>250</v>
      </c>
      <c r="H43" s="278">
        <v>250</v>
      </c>
      <c r="I43" s="278">
        <v>250</v>
      </c>
      <c r="J43" s="278">
        <v>250</v>
      </c>
      <c r="K43" s="279">
        <v>250</v>
      </c>
      <c r="L43" s="13"/>
    </row>
    <row r="44" spans="1:12" ht="12.75">
      <c r="A44" s="16" t="s">
        <v>15</v>
      </c>
      <c r="B44" s="275">
        <v>13.5</v>
      </c>
      <c r="C44" s="275">
        <v>13.5</v>
      </c>
      <c r="D44" s="275">
        <v>13.5</v>
      </c>
      <c r="E44" s="275">
        <v>13.5</v>
      </c>
      <c r="F44" s="275">
        <v>13.5</v>
      </c>
      <c r="G44" s="275">
        <v>13.5</v>
      </c>
      <c r="H44" s="275">
        <v>13.5</v>
      </c>
      <c r="I44" s="275">
        <v>13.5</v>
      </c>
      <c r="J44" s="275">
        <v>13.5</v>
      </c>
      <c r="K44" s="275">
        <v>13.5</v>
      </c>
      <c r="L44" s="13"/>
    </row>
    <row r="45" spans="1:12" ht="12.75">
      <c r="A45" s="19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2.75">
      <c r="A46" s="20"/>
      <c r="B46" s="5" t="s">
        <v>0</v>
      </c>
      <c r="C46" s="5" t="s">
        <v>1</v>
      </c>
      <c r="D46" s="5" t="s">
        <v>2</v>
      </c>
      <c r="E46" s="5" t="s">
        <v>3</v>
      </c>
      <c r="F46" s="5" t="s">
        <v>4</v>
      </c>
      <c r="G46" s="5" t="s">
        <v>5</v>
      </c>
      <c r="H46" s="5" t="s">
        <v>6</v>
      </c>
      <c r="I46" s="5" t="s">
        <v>7</v>
      </c>
      <c r="J46" s="5" t="s">
        <v>8</v>
      </c>
      <c r="K46" s="5" t="s">
        <v>9</v>
      </c>
      <c r="L46" s="48"/>
    </row>
    <row r="47" spans="1:12" ht="12.75">
      <c r="A47" s="7" t="s">
        <v>16</v>
      </c>
      <c r="B47" s="8">
        <f>B34*(1-B38)</f>
        <v>175</v>
      </c>
      <c r="C47" s="8">
        <f aca="true" t="shared" si="11" ref="C47:K47">B$53-B$55-B$56-B$57</f>
        <v>178.75</v>
      </c>
      <c r="D47" s="8">
        <f t="shared" si="11"/>
        <v>178.5625</v>
      </c>
      <c r="E47" s="8">
        <f t="shared" si="11"/>
        <v>178.57187499999998</v>
      </c>
      <c r="F47" s="8">
        <f t="shared" si="11"/>
        <v>178.57140625</v>
      </c>
      <c r="G47" s="8">
        <f t="shared" si="11"/>
        <v>178.5714296875</v>
      </c>
      <c r="H47" s="8">
        <f t="shared" si="11"/>
        <v>178.57142851562497</v>
      </c>
      <c r="I47" s="8">
        <f t="shared" si="11"/>
        <v>178.57142857421877</v>
      </c>
      <c r="J47" s="8">
        <f t="shared" si="11"/>
        <v>178.57142857128906</v>
      </c>
      <c r="K47" s="8">
        <f t="shared" si="11"/>
        <v>178.57142857143555</v>
      </c>
      <c r="L47" s="48"/>
    </row>
    <row r="48" spans="1:12" ht="12.75">
      <c r="A48" s="7" t="s">
        <v>17</v>
      </c>
      <c r="B48" s="8">
        <f>$B$34*0.5*(1-$B$40)*12/B44</f>
        <v>94.44444444444444</v>
      </c>
      <c r="C48" s="8">
        <f>B60</f>
        <v>118.93388888888889</v>
      </c>
      <c r="D48" s="8">
        <f>C60</f>
        <v>116.5552111111111</v>
      </c>
      <c r="E48" s="8">
        <f>D60</f>
        <v>116.62323944444445</v>
      </c>
      <c r="F48" s="8">
        <f aca="true" t="shared" si="12" ref="F48:K48">E$60</f>
        <v>116.61983802777777</v>
      </c>
      <c r="G48" s="8">
        <f t="shared" si="12"/>
        <v>116.62000809861111</v>
      </c>
      <c r="H48" s="8">
        <f t="shared" si="12"/>
        <v>116.61999959506943</v>
      </c>
      <c r="I48" s="8">
        <f t="shared" si="12"/>
        <v>116.62000002024652</v>
      </c>
      <c r="J48" s="8">
        <f t="shared" si="12"/>
        <v>116.61999999898764</v>
      </c>
      <c r="K48" s="8">
        <f t="shared" si="12"/>
        <v>116.62000000005061</v>
      </c>
      <c r="L48" s="48"/>
    </row>
    <row r="49" spans="1:12" ht="12.75">
      <c r="A49" s="7" t="s">
        <v>18</v>
      </c>
      <c r="B49" s="280"/>
      <c r="C49" s="281"/>
      <c r="D49" s="281"/>
      <c r="E49" s="281"/>
      <c r="F49" s="281"/>
      <c r="G49" s="281"/>
      <c r="H49" s="281"/>
      <c r="I49" s="281"/>
      <c r="J49" s="281"/>
      <c r="K49" s="281"/>
      <c r="L49" s="48"/>
    </row>
    <row r="50" spans="1:12" ht="12.75">
      <c r="A50" s="10" t="s">
        <v>19</v>
      </c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48"/>
    </row>
    <row r="51" spans="1:12" ht="12.75">
      <c r="A51" s="7" t="s">
        <v>20</v>
      </c>
      <c r="B51" s="8">
        <f>SUM(B47:B50)</f>
        <v>269.44444444444446</v>
      </c>
      <c r="C51" s="8">
        <f>SUM(C47:C50)</f>
        <v>297.6838888888889</v>
      </c>
      <c r="D51" s="8">
        <f>SUM(D47:D50)</f>
        <v>295.11771111111113</v>
      </c>
      <c r="E51" s="8">
        <f>SUM(E47:E50)</f>
        <v>295.1951144444444</v>
      </c>
      <c r="F51" s="285">
        <f aca="true" t="shared" si="13" ref="F51:K51">SUM(F$47:F$50)</f>
        <v>295.19124427777774</v>
      </c>
      <c r="G51" s="285">
        <f t="shared" si="13"/>
        <v>295.1914377861111</v>
      </c>
      <c r="H51" s="285">
        <f t="shared" si="13"/>
        <v>295.1914281106944</v>
      </c>
      <c r="I51" s="285">
        <f t="shared" si="13"/>
        <v>295.19142859446526</v>
      </c>
      <c r="J51" s="285">
        <f t="shared" si="13"/>
        <v>295.1914285702767</v>
      </c>
      <c r="K51" s="285">
        <f t="shared" si="13"/>
        <v>295.19142857148614</v>
      </c>
      <c r="L51" s="48"/>
    </row>
    <row r="52" spans="1:12" ht="12.75">
      <c r="A52" s="7" t="s">
        <v>21</v>
      </c>
      <c r="B52" s="8">
        <f>IF(B51-B$43&gt;0,B51-B$43,0)</f>
        <v>19.444444444444457</v>
      </c>
      <c r="C52" s="8">
        <f>IF(C51-C$43&gt;0,C51-C$43,0)</f>
        <v>47.68388888888887</v>
      </c>
      <c r="D52" s="8">
        <f>IF(D51-D$43&gt;0,D51-D$43,0)</f>
        <v>45.117711111111134</v>
      </c>
      <c r="E52" s="8">
        <f>IF(E51-E$43&gt;0,E51-E$43,0)</f>
        <v>45.195114444444414</v>
      </c>
      <c r="F52" s="8">
        <f aca="true" t="shared" si="14" ref="F52:K52">IF(F$51-F$43&gt;0,F$51-F$43,0)</f>
        <v>45.19124427777774</v>
      </c>
      <c r="G52" s="8">
        <f t="shared" si="14"/>
        <v>45.19143778611112</v>
      </c>
      <c r="H52" s="8">
        <f t="shared" si="14"/>
        <v>45.1914281106944</v>
      </c>
      <c r="I52" s="8">
        <f t="shared" si="14"/>
        <v>45.191428594465265</v>
      </c>
      <c r="J52" s="8">
        <f t="shared" si="14"/>
        <v>45.191428570276685</v>
      </c>
      <c r="K52" s="8">
        <f t="shared" si="14"/>
        <v>45.19142857148614</v>
      </c>
      <c r="L52" s="48"/>
    </row>
    <row r="53" spans="1:12" ht="12.75">
      <c r="A53" s="10" t="s">
        <v>22</v>
      </c>
      <c r="B53" s="282">
        <f>B51-B52</f>
        <v>250</v>
      </c>
      <c r="C53" s="282">
        <f>C51-C52</f>
        <v>250</v>
      </c>
      <c r="D53" s="282">
        <f>D51-D52</f>
        <v>250</v>
      </c>
      <c r="E53" s="282">
        <f>E51-E52</f>
        <v>250</v>
      </c>
      <c r="F53" s="282">
        <f aca="true" t="shared" si="15" ref="F53:K53">F$51-F$52</f>
        <v>250</v>
      </c>
      <c r="G53" s="282">
        <f t="shared" si="15"/>
        <v>250</v>
      </c>
      <c r="H53" s="282">
        <f t="shared" si="15"/>
        <v>250</v>
      </c>
      <c r="I53" s="282">
        <f t="shared" si="15"/>
        <v>250</v>
      </c>
      <c r="J53" s="282">
        <f t="shared" si="15"/>
        <v>250</v>
      </c>
      <c r="K53" s="282">
        <f t="shared" si="15"/>
        <v>250</v>
      </c>
      <c r="L53" s="48"/>
    </row>
    <row r="54" spans="1:12" ht="12.75">
      <c r="A54" s="7" t="s">
        <v>23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48"/>
    </row>
    <row r="55" spans="1:12" ht="12.75">
      <c r="A55" s="7" t="s">
        <v>205</v>
      </c>
      <c r="B55" s="8">
        <f aca="true" t="shared" si="16" ref="B55:K55">B$37*(B$53-B$47-B$49-B$50)</f>
        <v>18.75</v>
      </c>
      <c r="C55" s="8">
        <f t="shared" si="16"/>
        <v>17.8125</v>
      </c>
      <c r="D55" s="8">
        <f t="shared" si="16"/>
        <v>17.859375</v>
      </c>
      <c r="E55" s="8">
        <f t="shared" si="16"/>
        <v>17.857031250000006</v>
      </c>
      <c r="F55" s="8">
        <f t="shared" si="16"/>
        <v>17.8571484375</v>
      </c>
      <c r="G55" s="8">
        <f t="shared" si="16"/>
        <v>17.857142578125</v>
      </c>
      <c r="H55" s="8">
        <f t="shared" si="16"/>
        <v>17.857142871093757</v>
      </c>
      <c r="I55" s="8">
        <f t="shared" si="16"/>
        <v>17.857142856445307</v>
      </c>
      <c r="J55" s="8">
        <f t="shared" si="16"/>
        <v>17.857142857177735</v>
      </c>
      <c r="K55" s="8">
        <f t="shared" si="16"/>
        <v>17.857142857141113</v>
      </c>
      <c r="L55" s="48"/>
    </row>
    <row r="56" spans="1:12" ht="12.75">
      <c r="A56" s="7" t="s">
        <v>206</v>
      </c>
      <c r="B56" s="8">
        <f aca="true" t="shared" si="17" ref="B56:K56">B$38*(B$53-(B$48-B$52)-B$49-B$50)</f>
        <v>52.5</v>
      </c>
      <c r="C56" s="8">
        <f t="shared" si="17"/>
        <v>53.625</v>
      </c>
      <c r="D56" s="8">
        <f t="shared" si="17"/>
        <v>53.56875000000001</v>
      </c>
      <c r="E56" s="8">
        <f t="shared" si="17"/>
        <v>53.57156249999999</v>
      </c>
      <c r="F56" s="8">
        <f t="shared" si="17"/>
        <v>53.57142187499999</v>
      </c>
      <c r="G56" s="8">
        <f t="shared" si="17"/>
        <v>53.571428906250006</v>
      </c>
      <c r="H56" s="8">
        <f t="shared" si="17"/>
        <v>53.57142855468749</v>
      </c>
      <c r="I56" s="8">
        <f t="shared" si="17"/>
        <v>53.571428572265624</v>
      </c>
      <c r="J56" s="8">
        <f t="shared" si="17"/>
        <v>53.57142857138672</v>
      </c>
      <c r="K56" s="8">
        <f t="shared" si="17"/>
        <v>53.571428571430665</v>
      </c>
      <c r="L56" s="48"/>
    </row>
    <row r="57" spans="1:12" ht="12.75">
      <c r="A57" s="10" t="s">
        <v>207</v>
      </c>
      <c r="B57" s="14">
        <f aca="true" t="shared" si="18" ref="B57:K57">B$39*(B$49+B$50)</f>
        <v>0</v>
      </c>
      <c r="C57" s="14">
        <f t="shared" si="18"/>
        <v>0</v>
      </c>
      <c r="D57" s="14">
        <f t="shared" si="18"/>
        <v>0</v>
      </c>
      <c r="E57" s="14">
        <f t="shared" si="18"/>
        <v>0</v>
      </c>
      <c r="F57" s="14">
        <f t="shared" si="18"/>
        <v>0</v>
      </c>
      <c r="G57" s="14">
        <f t="shared" si="18"/>
        <v>0</v>
      </c>
      <c r="H57" s="14">
        <f t="shared" si="18"/>
        <v>0</v>
      </c>
      <c r="I57" s="14">
        <f t="shared" si="18"/>
        <v>0</v>
      </c>
      <c r="J57" s="14">
        <f t="shared" si="18"/>
        <v>0</v>
      </c>
      <c r="K57" s="14">
        <f t="shared" si="18"/>
        <v>0</v>
      </c>
      <c r="L57" s="48"/>
    </row>
    <row r="58" spans="1:12" ht="12.75">
      <c r="A58" s="7" t="s">
        <v>24</v>
      </c>
      <c r="B58" s="8">
        <f>(1-B42)*(B53+B55+B56+B57)*(1-B$40)*12/B$44</f>
        <v>123.78833333333333</v>
      </c>
      <c r="C58" s="8">
        <f>(1-C42)*(C53+C55+C56+C57)*(1-C$40)*12/C$44</f>
        <v>123.86058333333332</v>
      </c>
      <c r="D58" s="8">
        <f aca="true" t="shared" si="19" ref="D58:K58">(1-D42)*(D53+D55+D56+D57)*(1-D$40)*12/D$44</f>
        <v>123.85697083333334</v>
      </c>
      <c r="E58" s="8">
        <f t="shared" si="19"/>
        <v>123.8571514583333</v>
      </c>
      <c r="F58" s="8">
        <f t="shared" si="19"/>
        <v>123.85714242708333</v>
      </c>
      <c r="G58" s="8">
        <f t="shared" si="19"/>
        <v>123.85714287864583</v>
      </c>
      <c r="H58" s="8">
        <f t="shared" si="19"/>
        <v>123.8571428560677</v>
      </c>
      <c r="I58" s="8">
        <f t="shared" si="19"/>
        <v>123.85714285719662</v>
      </c>
      <c r="J58" s="8">
        <f t="shared" si="19"/>
        <v>123.85714285714015</v>
      </c>
      <c r="K58" s="8">
        <f t="shared" si="19"/>
        <v>123.85714285714299</v>
      </c>
      <c r="L58" s="48"/>
    </row>
    <row r="59" spans="1:12" ht="12.75">
      <c r="A59" s="7" t="s">
        <v>25</v>
      </c>
      <c r="B59" s="8">
        <f>B42*(B53+B55+B56+B57)*(1-B$40)*12/B$44</f>
        <v>118.93388888888889</v>
      </c>
      <c r="C59" s="8">
        <f>C42*(C53+C55+C56+C57)*(1-C$40)*12/C$44</f>
        <v>119.00330555555557</v>
      </c>
      <c r="D59" s="8">
        <f aca="true" t="shared" si="20" ref="D59:K59">D42*(D53+D55+D56+D57)*(1-D$40)*12/D$44</f>
        <v>118.99983472222222</v>
      </c>
      <c r="E59" s="8">
        <f t="shared" si="20"/>
        <v>119.00000826388889</v>
      </c>
      <c r="F59" s="8">
        <f t="shared" si="20"/>
        <v>118.99999958680554</v>
      </c>
      <c r="G59" s="8">
        <f t="shared" si="20"/>
        <v>119.00000002065971</v>
      </c>
      <c r="H59" s="8">
        <f t="shared" si="20"/>
        <v>118.99999999896698</v>
      </c>
      <c r="I59" s="8">
        <f t="shared" si="20"/>
        <v>119.00000000005164</v>
      </c>
      <c r="J59" s="8">
        <f t="shared" si="20"/>
        <v>118.99999999999743</v>
      </c>
      <c r="K59" s="8">
        <f t="shared" si="20"/>
        <v>119.00000000000013</v>
      </c>
      <c r="L59" s="48"/>
    </row>
    <row r="60" spans="1:12" ht="12.75">
      <c r="A60" s="10" t="s">
        <v>26</v>
      </c>
      <c r="B60" s="14">
        <f>($B$34+B55+B56+B57)*B42*(1-B$40)*12/B44</f>
        <v>118.93388888888889</v>
      </c>
      <c r="C60" s="14">
        <f aca="true" t="shared" si="21" ref="C60:K60">(1-B41)*B59</f>
        <v>116.5552111111111</v>
      </c>
      <c r="D60" s="14">
        <f t="shared" si="21"/>
        <v>116.62323944444445</v>
      </c>
      <c r="E60" s="14">
        <f t="shared" si="21"/>
        <v>116.61983802777777</v>
      </c>
      <c r="F60" s="14">
        <f t="shared" si="21"/>
        <v>116.62000809861111</v>
      </c>
      <c r="G60" s="14">
        <f t="shared" si="21"/>
        <v>116.61999959506943</v>
      </c>
      <c r="H60" s="14">
        <f t="shared" si="21"/>
        <v>116.62000002024652</v>
      </c>
      <c r="I60" s="14">
        <f t="shared" si="21"/>
        <v>116.61999999898764</v>
      </c>
      <c r="J60" s="14">
        <f t="shared" si="21"/>
        <v>116.62000000005061</v>
      </c>
      <c r="K60" s="14">
        <f t="shared" si="21"/>
        <v>116.61999999999748</v>
      </c>
      <c r="L60" s="48"/>
    </row>
    <row r="63" s="17" customFormat="1" ht="17.25">
      <c r="A63" s="1" t="s">
        <v>210</v>
      </c>
    </row>
    <row r="65" spans="1:11" ht="12.75">
      <c r="A65" s="4"/>
      <c r="B65" s="5" t="s">
        <v>0</v>
      </c>
      <c r="C65" s="5" t="s">
        <v>1</v>
      </c>
      <c r="D65" s="5" t="s">
        <v>2</v>
      </c>
      <c r="E65" s="5" t="s">
        <v>3</v>
      </c>
      <c r="F65" s="287" t="s">
        <v>4</v>
      </c>
      <c r="G65" s="287" t="s">
        <v>5</v>
      </c>
      <c r="H65" s="287" t="s">
        <v>6</v>
      </c>
      <c r="I65" s="287" t="s">
        <v>7</v>
      </c>
      <c r="J65" s="287" t="s">
        <v>8</v>
      </c>
      <c r="K65" s="288" t="s">
        <v>9</v>
      </c>
    </row>
    <row r="66" spans="1:11" ht="12.75">
      <c r="A66" s="7" t="s">
        <v>16</v>
      </c>
      <c r="B66" s="8">
        <f aca="true" t="shared" si="22" ref="B66:K66">B16-B47</f>
        <v>0</v>
      </c>
      <c r="C66" s="8">
        <f t="shared" si="22"/>
        <v>149.58333333333337</v>
      </c>
      <c r="D66" s="8">
        <f t="shared" si="22"/>
        <v>163.42101851851857</v>
      </c>
      <c r="E66" s="8">
        <f t="shared" si="22"/>
        <v>179.3289490740741</v>
      </c>
      <c r="F66" s="285">
        <f t="shared" si="22"/>
        <v>178.53355254629628</v>
      </c>
      <c r="G66" s="285">
        <f t="shared" si="22"/>
        <v>178.57332237268517</v>
      </c>
      <c r="H66" s="285">
        <f t="shared" si="22"/>
        <v>178.57133388136577</v>
      </c>
      <c r="I66" s="285">
        <f t="shared" si="22"/>
        <v>178.5714333059317</v>
      </c>
      <c r="J66" s="285">
        <f t="shared" si="22"/>
        <v>178.57142833470346</v>
      </c>
      <c r="K66" s="286">
        <f t="shared" si="22"/>
        <v>178.5714285832649</v>
      </c>
    </row>
    <row r="67" spans="1:11" ht="12.75">
      <c r="A67" s="7" t="s">
        <v>17</v>
      </c>
      <c r="B67" s="8">
        <f aca="true" t="shared" si="23" ref="B67:K67">B17-B48</f>
        <v>0</v>
      </c>
      <c r="C67" s="8">
        <f t="shared" si="23"/>
        <v>1.7996913580246883</v>
      </c>
      <c r="D67" s="8">
        <f t="shared" si="23"/>
        <v>123.10608765432096</v>
      </c>
      <c r="E67" s="8">
        <f t="shared" si="23"/>
        <v>111.28085964746224</v>
      </c>
      <c r="F67" s="8">
        <f t="shared" si="23"/>
        <v>116.34515809460905</v>
      </c>
      <c r="G67" s="8">
        <f t="shared" si="23"/>
        <v>116.63374209526954</v>
      </c>
      <c r="H67" s="8">
        <f t="shared" si="23"/>
        <v>116.61931289523653</v>
      </c>
      <c r="I67" s="8">
        <f t="shared" si="23"/>
        <v>116.62003435523812</v>
      </c>
      <c r="J67" s="8">
        <f t="shared" si="23"/>
        <v>116.61999828223814</v>
      </c>
      <c r="K67" s="9">
        <f t="shared" si="23"/>
        <v>116.6200000858881</v>
      </c>
    </row>
    <row r="68" spans="1:11" ht="12.75">
      <c r="A68" s="7" t="s">
        <v>18</v>
      </c>
      <c r="B68" s="289">
        <f aca="true" t="shared" si="24" ref="B68:K68">B18-B49</f>
        <v>225</v>
      </c>
      <c r="C68" s="289">
        <f t="shared" si="24"/>
        <v>36</v>
      </c>
      <c r="D68" s="289">
        <f t="shared" si="24"/>
        <v>0</v>
      </c>
      <c r="E68" s="289">
        <f t="shared" si="24"/>
        <v>0</v>
      </c>
      <c r="F68" s="289">
        <f t="shared" si="24"/>
        <v>0</v>
      </c>
      <c r="G68" s="289">
        <f t="shared" si="24"/>
        <v>0</v>
      </c>
      <c r="H68" s="289">
        <f t="shared" si="24"/>
        <v>0</v>
      </c>
      <c r="I68" s="289">
        <f t="shared" si="24"/>
        <v>0</v>
      </c>
      <c r="J68" s="289">
        <f t="shared" si="24"/>
        <v>0</v>
      </c>
      <c r="K68" s="290">
        <f t="shared" si="24"/>
        <v>0</v>
      </c>
    </row>
    <row r="69" spans="1:11" ht="12.75">
      <c r="A69" s="10" t="s">
        <v>211</v>
      </c>
      <c r="B69" s="282">
        <f aca="true" t="shared" si="25" ref="B69:K69">B19-B50</f>
        <v>0</v>
      </c>
      <c r="C69" s="282">
        <f t="shared" si="25"/>
        <v>0</v>
      </c>
      <c r="D69" s="282">
        <f t="shared" si="25"/>
        <v>0</v>
      </c>
      <c r="E69" s="282">
        <f t="shared" si="25"/>
        <v>0</v>
      </c>
      <c r="F69" s="289">
        <f t="shared" si="25"/>
        <v>0</v>
      </c>
      <c r="G69" s="289">
        <f t="shared" si="25"/>
        <v>0</v>
      </c>
      <c r="H69" s="289">
        <f t="shared" si="25"/>
        <v>0</v>
      </c>
      <c r="I69" s="289">
        <f t="shared" si="25"/>
        <v>0</v>
      </c>
      <c r="J69" s="289">
        <f t="shared" si="25"/>
        <v>0</v>
      </c>
      <c r="K69" s="290">
        <f t="shared" si="25"/>
        <v>0</v>
      </c>
    </row>
    <row r="70" spans="1:11" ht="12.75">
      <c r="A70" s="7" t="s">
        <v>20</v>
      </c>
      <c r="B70" s="8">
        <f aca="true" t="shared" si="26" ref="B70:K70">B20-B51</f>
        <v>225</v>
      </c>
      <c r="C70" s="8">
        <f t="shared" si="26"/>
        <v>187.38302469135806</v>
      </c>
      <c r="D70" s="8">
        <f t="shared" si="26"/>
        <v>286.52710617283947</v>
      </c>
      <c r="E70" s="8">
        <f t="shared" si="26"/>
        <v>290.60980872153635</v>
      </c>
      <c r="F70" s="285">
        <f t="shared" si="26"/>
        <v>294.8787106409054</v>
      </c>
      <c r="G70" s="285">
        <f t="shared" si="26"/>
        <v>295.20706446795464</v>
      </c>
      <c r="H70" s="285">
        <f t="shared" si="26"/>
        <v>295.19064677660236</v>
      </c>
      <c r="I70" s="285">
        <f t="shared" si="26"/>
        <v>295.1914676611699</v>
      </c>
      <c r="J70" s="285">
        <f t="shared" si="26"/>
        <v>295.1914266169416</v>
      </c>
      <c r="K70" s="286">
        <f t="shared" si="26"/>
        <v>295.191428669153</v>
      </c>
    </row>
    <row r="71" spans="1:11" ht="12.75">
      <c r="A71" s="7" t="s">
        <v>21</v>
      </c>
      <c r="B71" s="289">
        <f aca="true" t="shared" si="27" ref="B71:K71">B21-B52</f>
        <v>-19.444444444444457</v>
      </c>
      <c r="C71" s="289">
        <f t="shared" si="27"/>
        <v>-47.68388888888887</v>
      </c>
      <c r="D71" s="289">
        <f t="shared" si="27"/>
        <v>36.52710617283947</v>
      </c>
      <c r="E71" s="289">
        <f t="shared" si="27"/>
        <v>40.60980872153635</v>
      </c>
      <c r="F71" s="289">
        <f t="shared" si="27"/>
        <v>44.87871064090541</v>
      </c>
      <c r="G71" s="289">
        <f t="shared" si="27"/>
        <v>45.20706446795464</v>
      </c>
      <c r="H71" s="289">
        <f t="shared" si="27"/>
        <v>45.190646776602364</v>
      </c>
      <c r="I71" s="289">
        <f t="shared" si="27"/>
        <v>45.191467661169895</v>
      </c>
      <c r="J71" s="289">
        <f t="shared" si="27"/>
        <v>45.19142661694161</v>
      </c>
      <c r="K71" s="290">
        <f t="shared" si="27"/>
        <v>45.19142866915303</v>
      </c>
    </row>
    <row r="72" spans="1:11" ht="12.75">
      <c r="A72" s="10" t="s">
        <v>22</v>
      </c>
      <c r="B72" s="282">
        <f aca="true" t="shared" si="28" ref="B72:K72">B22-B53</f>
        <v>244.44444444444446</v>
      </c>
      <c r="C72" s="282">
        <f t="shared" si="28"/>
        <v>235.06691358024693</v>
      </c>
      <c r="D72" s="282">
        <f t="shared" si="28"/>
        <v>250</v>
      </c>
      <c r="E72" s="282">
        <f t="shared" si="28"/>
        <v>250</v>
      </c>
      <c r="F72" s="282">
        <f t="shared" si="28"/>
        <v>250</v>
      </c>
      <c r="G72" s="282">
        <f t="shared" si="28"/>
        <v>250</v>
      </c>
      <c r="H72" s="282">
        <f t="shared" si="28"/>
        <v>250</v>
      </c>
      <c r="I72" s="282">
        <f t="shared" si="28"/>
        <v>250</v>
      </c>
      <c r="J72" s="282">
        <f t="shared" si="28"/>
        <v>250</v>
      </c>
      <c r="K72" s="283">
        <f t="shared" si="28"/>
        <v>250</v>
      </c>
    </row>
    <row r="73" spans="1:11" ht="12.75">
      <c r="A73" s="7" t="s">
        <v>23</v>
      </c>
      <c r="B73" s="13"/>
      <c r="C73" s="13"/>
      <c r="D73" s="13"/>
      <c r="E73" s="13"/>
      <c r="F73" s="13"/>
      <c r="G73" s="13"/>
      <c r="H73" s="13"/>
      <c r="I73" s="13"/>
      <c r="J73" s="13"/>
      <c r="K73" s="83"/>
    </row>
    <row r="74" spans="1:11" ht="12.75">
      <c r="A74" s="7" t="s">
        <v>205</v>
      </c>
      <c r="B74" s="8">
        <f aca="true" t="shared" si="29" ref="B74:K74">B24-B55</f>
        <v>4.861111111111114</v>
      </c>
      <c r="C74" s="8">
        <f t="shared" si="29"/>
        <v>12.37089506172839</v>
      </c>
      <c r="D74" s="8">
        <f t="shared" si="29"/>
        <v>21.64474537037036</v>
      </c>
      <c r="E74" s="8">
        <f t="shared" si="29"/>
        <v>17.667762731481474</v>
      </c>
      <c r="F74" s="8">
        <f t="shared" si="29"/>
        <v>17.86661186342593</v>
      </c>
      <c r="G74" s="8">
        <f t="shared" si="29"/>
        <v>17.856669406828708</v>
      </c>
      <c r="H74" s="8">
        <f t="shared" si="29"/>
        <v>17.857166529658556</v>
      </c>
      <c r="I74" s="8">
        <f t="shared" si="29"/>
        <v>17.857141673517077</v>
      </c>
      <c r="J74" s="8">
        <f t="shared" si="29"/>
        <v>17.857142916324136</v>
      </c>
      <c r="K74" s="9">
        <f t="shared" si="29"/>
        <v>17.857142854183778</v>
      </c>
    </row>
    <row r="75" spans="1:11" ht="12.75">
      <c r="A75" s="7" t="s">
        <v>206</v>
      </c>
      <c r="B75" s="8">
        <f aca="true" t="shared" si="30" ref="B75:K75">B25-B56</f>
        <v>0</v>
      </c>
      <c r="C75" s="8">
        <f t="shared" si="30"/>
        <v>44.875000000000014</v>
      </c>
      <c r="D75" s="8">
        <f t="shared" si="30"/>
        <v>49.02630555555554</v>
      </c>
      <c r="E75" s="8">
        <f t="shared" si="30"/>
        <v>53.79868472222223</v>
      </c>
      <c r="F75" s="8">
        <f t="shared" si="30"/>
        <v>53.56006576388891</v>
      </c>
      <c r="G75" s="8">
        <f t="shared" si="30"/>
        <v>53.571996711805525</v>
      </c>
      <c r="H75" s="8">
        <f t="shared" si="30"/>
        <v>53.571400164409745</v>
      </c>
      <c r="I75" s="8">
        <f t="shared" si="30"/>
        <v>53.57142999177953</v>
      </c>
      <c r="J75" s="8">
        <f t="shared" si="30"/>
        <v>53.57142850041103</v>
      </c>
      <c r="K75" s="9">
        <f t="shared" si="30"/>
        <v>53.57142857497946</v>
      </c>
    </row>
    <row r="76" spans="1:11" ht="12.75">
      <c r="A76" s="10" t="s">
        <v>207</v>
      </c>
      <c r="B76" s="14">
        <f aca="true" t="shared" si="31" ref="B76:K76">B26-B57</f>
        <v>90</v>
      </c>
      <c r="C76" s="14">
        <f t="shared" si="31"/>
        <v>14.4</v>
      </c>
      <c r="D76" s="14">
        <f t="shared" si="31"/>
        <v>0</v>
      </c>
      <c r="E76" s="14">
        <f t="shared" si="31"/>
        <v>0</v>
      </c>
      <c r="F76" s="14">
        <f t="shared" si="31"/>
        <v>0</v>
      </c>
      <c r="G76" s="14">
        <f t="shared" si="31"/>
        <v>0</v>
      </c>
      <c r="H76" s="14">
        <f t="shared" si="31"/>
        <v>0</v>
      </c>
      <c r="I76" s="14">
        <f t="shared" si="31"/>
        <v>0</v>
      </c>
      <c r="J76" s="14">
        <f t="shared" si="31"/>
        <v>0</v>
      </c>
      <c r="K76" s="15">
        <f t="shared" si="31"/>
        <v>0</v>
      </c>
    </row>
    <row r="77" spans="1:11" ht="12.75">
      <c r="A77" s="7" t="s">
        <v>25</v>
      </c>
      <c r="B77" s="8">
        <f aca="true" t="shared" si="32" ref="B77:K77">B28-B59</f>
        <v>125.61845679012343</v>
      </c>
      <c r="C77" s="8">
        <f t="shared" si="32"/>
        <v>113.55189759945127</v>
      </c>
      <c r="D77" s="8">
        <f t="shared" si="32"/>
        <v>118.71954907613168</v>
      </c>
      <c r="E77" s="8">
        <f t="shared" si="32"/>
        <v>119.0140225461934</v>
      </c>
      <c r="F77" s="8">
        <f t="shared" si="32"/>
        <v>118.99929887269035</v>
      </c>
      <c r="G77" s="8">
        <f t="shared" si="32"/>
        <v>119.00003505636545</v>
      </c>
      <c r="H77" s="8">
        <f t="shared" si="32"/>
        <v>118.99999824718176</v>
      </c>
      <c r="I77" s="8">
        <f t="shared" si="32"/>
        <v>119.00000008764093</v>
      </c>
      <c r="J77" s="8">
        <f t="shared" si="32"/>
        <v>118.99999999561793</v>
      </c>
      <c r="K77" s="9">
        <f t="shared" si="32"/>
        <v>119.00000000021909</v>
      </c>
    </row>
    <row r="78" spans="1:11" ht="12.75">
      <c r="A78" s="10" t="s">
        <v>26</v>
      </c>
      <c r="B78" s="14">
        <f aca="true" t="shared" si="33" ref="B78:K78">B29-B60</f>
        <v>1.7996913580246883</v>
      </c>
      <c r="C78" s="14">
        <f t="shared" si="33"/>
        <v>123.10608765432096</v>
      </c>
      <c r="D78" s="14">
        <f t="shared" si="33"/>
        <v>111.28085964746224</v>
      </c>
      <c r="E78" s="14">
        <f t="shared" si="33"/>
        <v>116.34515809460905</v>
      </c>
      <c r="F78" s="14">
        <f t="shared" si="33"/>
        <v>116.63374209526954</v>
      </c>
      <c r="G78" s="14">
        <f t="shared" si="33"/>
        <v>116.61931289523653</v>
      </c>
      <c r="H78" s="14">
        <f t="shared" si="33"/>
        <v>116.62003435523812</v>
      </c>
      <c r="I78" s="14">
        <f t="shared" si="33"/>
        <v>116.61999828223814</v>
      </c>
      <c r="J78" s="14">
        <f t="shared" si="33"/>
        <v>116.6200000858881</v>
      </c>
      <c r="K78" s="15">
        <f t="shared" si="33"/>
        <v>116.61999999570557</v>
      </c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65" r:id="rId1"/>
  <headerFooter alignWithMargins="0">
    <oddFooter xml:space="preserve">&amp;R&amp;8Dairy Management at Virginia Tech
Dr. M. L. McGilliard
[&amp;F] Rev. 10/02/03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McGilliard</dc:creator>
  <cp:keywords/>
  <dc:description/>
  <cp:lastModifiedBy>Laura</cp:lastModifiedBy>
  <cp:lastPrinted>2009-12-09T18:18:15Z</cp:lastPrinted>
  <dcterms:created xsi:type="dcterms:W3CDTF">2000-10-02T19:56:28Z</dcterms:created>
  <dcterms:modified xsi:type="dcterms:W3CDTF">2017-03-10T15:31:18Z</dcterms:modified>
  <cp:category/>
  <cp:version/>
  <cp:contentType/>
  <cp:contentStatus/>
</cp:coreProperties>
</file>