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88" activeTab="0"/>
  </bookViews>
  <sheets>
    <sheet name="The Planner" sheetId="1" r:id="rId1"/>
    <sheet name="Bedding Facts" sheetId="2" r:id="rId2"/>
    <sheet name="Manure Chart" sheetId="3" r:id="rId3"/>
    <sheet name="DMI Chart" sheetId="4" r:id="rId4"/>
    <sheet name="Coefficients" sheetId="5" r:id="rId5"/>
    <sheet name="Sheet3" sheetId="6" r:id="rId6"/>
  </sheets>
  <definedNames>
    <definedName name="Bedding_Materials">'Bedding Facts'!$A$2:$E$7</definedName>
  </definedNames>
  <calcPr fullCalcOnLoad="1"/>
</workbook>
</file>

<file path=xl/comments1.xml><?xml version="1.0" encoding="utf-8"?>
<comments xmlns="http://schemas.openxmlformats.org/spreadsheetml/2006/main">
  <authors>
    <author>Coleen Mowrey</author>
    <author>McGilliard</author>
  </authors>
  <commentList>
    <comment ref="A29" authorId="0">
      <text>
        <r>
          <rPr>
            <b/>
            <sz val="8"/>
            <rFont val="Tahoma"/>
            <family val="0"/>
          </rPr>
          <t>Choose:
1. automatic
2. manual with pre-dip
3. manual wash/dry
4. holding pen sprinkler</t>
        </r>
      </text>
    </comment>
    <comment ref="A35" authorId="0">
      <text>
        <r>
          <rPr>
            <b/>
            <sz val="8"/>
            <rFont val="Tahoma"/>
            <family val="0"/>
          </rPr>
          <t>enter no if water used in plate cooler is recycled</t>
        </r>
      </text>
    </comment>
    <comment ref="E24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25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A52" authorId="0">
      <text>
        <r>
          <rPr>
            <b/>
            <sz val="8"/>
            <rFont val="Tahoma"/>
            <family val="0"/>
          </rPr>
          <t>includes milking and dry cows</t>
        </r>
      </text>
    </comment>
    <comment ref="E28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29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E32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33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E36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37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A41" authorId="0">
      <text>
        <r>
          <rPr>
            <b/>
            <sz val="8"/>
            <rFont val="Tahoma"/>
            <family val="0"/>
          </rPr>
          <t>include concrete, pavement, roof, earthen lots, and storage facility surface areas exposed to rainfall</t>
        </r>
      </text>
    </comment>
    <comment ref="B77" authorId="0">
      <text>
        <r>
          <rPr>
            <b/>
            <sz val="8"/>
            <rFont val="Tahoma"/>
            <family val="0"/>
          </rPr>
          <t>includes 2 feet of freeboard</t>
        </r>
      </text>
    </comment>
    <comment ref="B68" authorId="0">
      <text>
        <r>
          <rPr>
            <b/>
            <sz val="8"/>
            <rFont val="Tahoma"/>
            <family val="0"/>
          </rPr>
          <t>for a lagoon be sure this facility will hold both  liquid and solid waste volumes</t>
        </r>
      </text>
    </comment>
    <comment ref="B69" authorId="0">
      <text>
        <r>
          <rPr>
            <b/>
            <sz val="8"/>
            <rFont val="Tahoma"/>
            <family val="0"/>
          </rPr>
          <t>Enter
1.5 for a 1.5:1 slope
2 for a 2:1 slope
2.5 for a 2.5:1 slope</t>
        </r>
      </text>
    </comment>
    <comment ref="F98" authorId="0">
      <text>
        <r>
          <rPr>
            <b/>
            <sz val="8"/>
            <rFont val="Tahoma"/>
            <family val="0"/>
          </rPr>
          <t>to store all liquid and solid together</t>
        </r>
      </text>
    </comment>
    <comment ref="G78" authorId="0">
      <text>
        <r>
          <rPr>
            <b/>
            <sz val="8"/>
            <rFont val="Tahoma"/>
            <family val="0"/>
          </rPr>
          <t>using goalseek function</t>
        </r>
      </text>
    </comment>
    <comment ref="I7" authorId="0">
      <text>
        <r>
          <rPr>
            <b/>
            <sz val="8"/>
            <rFont val="Tahoma"/>
            <family val="0"/>
          </rPr>
          <t>most accurate!</t>
        </r>
      </text>
    </comment>
    <comment ref="K37" authorId="0">
      <text>
        <r>
          <rPr>
            <b/>
            <sz val="8"/>
            <rFont val="Tahoma"/>
            <family val="0"/>
          </rPr>
          <t>visit this site to get precipitation data; choose your state and county, then click on the "ok" button below TAPS (which stands for temperature and precipitation summary)</t>
        </r>
      </text>
    </comment>
    <comment ref="A33" authorId="1">
      <text>
        <r>
          <rPr>
            <sz val="8"/>
            <rFont val="Tahoma"/>
            <family val="0"/>
          </rPr>
          <t xml:space="preserve">Flush = 75 gal/ft of alley width, 200 ft long (per flush).
Sheet assumes 40 gal/d/cow for flushing.  A different look:
4-rows, 4 8-ft alleys, 450 total ft
  = 32*2*75*2 flushes/d = 9,600 gal/d
Or, 9,600/400 = 24 gal/d per cow.
</t>
        </r>
      </text>
    </comment>
  </commentList>
</comments>
</file>

<file path=xl/sharedStrings.xml><?xml version="1.0" encoding="utf-8"?>
<sst xmlns="http://schemas.openxmlformats.org/spreadsheetml/2006/main" count="260" uniqueCount="194">
  <si>
    <t>Lactating Cows</t>
  </si>
  <si>
    <t>Dry Cows</t>
  </si>
  <si>
    <t>Heifers (over 1 year old)</t>
  </si>
  <si>
    <t>Calves (under 1 year old)</t>
  </si>
  <si>
    <t>Manure</t>
  </si>
  <si>
    <t>3.5% BW</t>
  </si>
  <si>
    <t>4% BW</t>
  </si>
  <si>
    <t>1300-lb cow eating</t>
  </si>
  <si>
    <t>DM 70% digest</t>
  </si>
  <si>
    <t>DMI</t>
  </si>
  <si>
    <t>kg</t>
  </si>
  <si>
    <t>lb</t>
  </si>
  <si>
    <t>Van Horn Method (table)</t>
  </si>
  <si>
    <t>Milk (lb)</t>
  </si>
  <si>
    <t>Manure (gal)</t>
  </si>
  <si>
    <t>Margin</t>
  </si>
  <si>
    <t>3 lb milk to 1 lb DM Thumbrule Method</t>
  </si>
  <si>
    <t>DMI (lb)</t>
  </si>
  <si>
    <t>NRC DMI Prediction Equation Method</t>
  </si>
  <si>
    <t>(3.5% fat)</t>
  </si>
  <si>
    <t xml:space="preserve">FCM  </t>
  </si>
  <si>
    <t>DMI predicted by NRC equation</t>
  </si>
  <si>
    <t>DMI predicted as %BW (1300-lb cow)</t>
  </si>
  <si>
    <t>Weight (lb)</t>
  </si>
  <si>
    <t>Number</t>
  </si>
  <si>
    <t>Calculation Method</t>
  </si>
  <si>
    <t>Milk (lb/d)</t>
  </si>
  <si>
    <t>Dry Matter Intake (lb/d)</t>
  </si>
  <si>
    <t>Manure Production (gal/head/d)</t>
  </si>
  <si>
    <t>Manure Production</t>
  </si>
  <si>
    <t xml:space="preserve">Daily Amt. per Animal (gal/head/d) </t>
  </si>
  <si>
    <t>Waste Management Planner</t>
  </si>
  <si>
    <t>Waste Water</t>
  </si>
  <si>
    <t>Parlor Size (# stalls/side)</t>
  </si>
  <si>
    <t>Backflush System? (y/n)</t>
  </si>
  <si>
    <t xml:space="preserve">Cow prep routine </t>
  </si>
  <si>
    <t>Number of milkings/day</t>
  </si>
  <si>
    <t>Flush system? (y/n)</t>
  </si>
  <si>
    <t>Plate cooler? (y/n)</t>
  </si>
  <si>
    <t xml:space="preserve">     Number of sprinklers</t>
  </si>
  <si>
    <t>Flushes per day (#)</t>
  </si>
  <si>
    <t>Bedding Materials</t>
  </si>
  <si>
    <t>Annual Precipitation</t>
  </si>
  <si>
    <t>Annual rainfall (in)</t>
  </si>
  <si>
    <t>Annual evaporation (in)</t>
  </si>
  <si>
    <t>25-year, 24-hour storm (in)</t>
  </si>
  <si>
    <t>Runoff area (sq ft)</t>
  </si>
  <si>
    <t>Storage Requirements</t>
  </si>
  <si>
    <t>Days to store liquid</t>
  </si>
  <si>
    <t>Days to store solid</t>
  </si>
  <si>
    <t>Month</t>
  </si>
  <si>
    <t>Rainfall (in)</t>
  </si>
  <si>
    <t>Evaporation (in)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</si>
  <si>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</si>
  <si>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</si>
  <si>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</si>
  <si>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</si>
  <si>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</si>
  <si>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</si>
  <si>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</si>
  <si>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</si>
  <si>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</si>
  <si>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</si>
  <si>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</si>
  <si>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</si>
  <si>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</si>
  <si>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Storage Capacity Input</t>
  </si>
  <si>
    <t>Storage Capacity Output</t>
  </si>
  <si>
    <t>Bulk Tank washes/day</t>
  </si>
  <si>
    <t>Pipeline</t>
  </si>
  <si>
    <t>Parlor/milk house/hold pen</t>
  </si>
  <si>
    <t>Backflush</t>
  </si>
  <si>
    <t>Cow prep</t>
  </si>
  <si>
    <t xml:space="preserve">     Sprinkler minutes/milking</t>
  </si>
  <si>
    <t>Flush system</t>
  </si>
  <si>
    <t>Plate cooler</t>
  </si>
  <si>
    <t>n</t>
  </si>
  <si>
    <t>gal/wash</t>
  </si>
  <si>
    <t>gal/day</t>
  </si>
  <si>
    <t>Bedding Material</t>
  </si>
  <si>
    <t xml:space="preserve">   Type of bedding</t>
  </si>
  <si>
    <t xml:space="preserve">   Housing system</t>
  </si>
  <si>
    <t xml:space="preserve">   % stored with liquid</t>
  </si>
  <si>
    <t>Heifers</t>
  </si>
  <si>
    <t>Calves</t>
  </si>
  <si>
    <t>Average Monthly Rainfall</t>
  </si>
  <si>
    <t>Dry Matter Digest. (%)</t>
  </si>
  <si>
    <t>% of Time Confined</t>
  </si>
  <si>
    <t>Lactating</t>
  </si>
  <si>
    <t>Dry</t>
  </si>
  <si>
    <t>gal/d/AU</t>
  </si>
  <si>
    <t>Loose hay or straw</t>
  </si>
  <si>
    <t>Chopped hay or straw</t>
  </si>
  <si>
    <t>Shavings or sawdust</t>
  </si>
  <si>
    <t>Sand, soil or limestone</t>
  </si>
  <si>
    <t>Stanchion</t>
  </si>
  <si>
    <t>Free stall</t>
  </si>
  <si>
    <t>Loose housing</t>
  </si>
  <si>
    <t>% stored as liquid</t>
  </si>
  <si>
    <t>Annual</t>
  </si>
  <si>
    <t>Per Day</t>
  </si>
  <si>
    <t>Total volume of manure</t>
  </si>
  <si>
    <t>Manure stored as liquid</t>
  </si>
  <si>
    <t>Waste water</t>
  </si>
  <si>
    <t>Bedding stored with liquid</t>
  </si>
  <si>
    <t>gal/d/AU stored with liquid</t>
  </si>
  <si>
    <t>25-year, 24-hour storm</t>
  </si>
  <si>
    <t>Normal runoff</t>
  </si>
  <si>
    <t>Total (gallons)</t>
  </si>
  <si>
    <t>Total (cubic feet)</t>
  </si>
  <si>
    <t>Manure stored as solid</t>
  </si>
  <si>
    <t>Bedding</t>
  </si>
  <si>
    <t>Waste feed</t>
  </si>
  <si>
    <t>Waste Feed</t>
  </si>
  <si>
    <t>cubic feet wasted/d</t>
  </si>
  <si>
    <t>1. Milk</t>
  </si>
  <si>
    <t>2. DMI</t>
  </si>
  <si>
    <t>3. Weight</t>
  </si>
  <si>
    <t>% stored as solid</t>
  </si>
  <si>
    <t>Storage</t>
  </si>
  <si>
    <t xml:space="preserve">Miscellaneous </t>
  </si>
  <si>
    <t xml:space="preserve">     Liquid</t>
  </si>
  <si>
    <t xml:space="preserve">     Milking cows</t>
  </si>
  <si>
    <t xml:space="preserve">     Dry cows</t>
  </si>
  <si>
    <t xml:space="preserve">     Heifers and calves</t>
  </si>
  <si>
    <t>gallons</t>
  </si>
  <si>
    <t>%</t>
  </si>
  <si>
    <t>Waste produced/milking aged cow/day</t>
  </si>
  <si>
    <t>Contributions to total manure volume</t>
  </si>
  <si>
    <t>cubic ft</t>
  </si>
  <si>
    <t>Sizing the Liquid Storage Facility</t>
  </si>
  <si>
    <t>Inside slope ratio</t>
  </si>
  <si>
    <t>Depth</t>
  </si>
  <si>
    <t>Top Length</t>
  </si>
  <si>
    <t>Top Width</t>
  </si>
  <si>
    <t>Volume</t>
  </si>
  <si>
    <t>Bottom Length</t>
  </si>
  <si>
    <t>Bottom Width</t>
  </si>
  <si>
    <t>Adjusted Depth</t>
  </si>
  <si>
    <t>feet</t>
  </si>
  <si>
    <t>cubic feet</t>
  </si>
  <si>
    <t>run/rise</t>
  </si>
  <si>
    <t>Wall Height</t>
  </si>
  <si>
    <t>Back Wall - Width</t>
  </si>
  <si>
    <t>Side Wall - Length</t>
  </si>
  <si>
    <t xml:space="preserve">     Solid</t>
  </si>
  <si>
    <t xml:space="preserve">     Lagoon</t>
  </si>
  <si>
    <t>*intended to size rectangular building</t>
  </si>
  <si>
    <t>Sizing the Solid Storage Facility*</t>
  </si>
  <si>
    <t>Automated Sizing</t>
  </si>
  <si>
    <t>Liquid</t>
  </si>
  <si>
    <t>excess capacity</t>
  </si>
  <si>
    <t>CTL-d</t>
  </si>
  <si>
    <t>CTL-l</t>
  </si>
  <si>
    <t>CTL-w</t>
  </si>
  <si>
    <t>Solid</t>
  </si>
  <si>
    <t>Height</t>
  </si>
  <si>
    <t>Side Wall</t>
  </si>
  <si>
    <t>Back Wall</t>
  </si>
  <si>
    <t>CTL-h</t>
  </si>
  <si>
    <t>Lagoon</t>
  </si>
  <si>
    <t>excess capacity (lagoon)</t>
  </si>
  <si>
    <t>excess capacity (liquid only)</t>
  </si>
  <si>
    <t>CTL-q</t>
  </si>
  <si>
    <t>CTL-r</t>
  </si>
  <si>
    <t>CTL-k</t>
  </si>
  <si>
    <t>CTL-j</t>
  </si>
  <si>
    <t>CTL-e</t>
  </si>
  <si>
    <t>Recycle flush water (gal/cow/d)</t>
  </si>
  <si>
    <t>Bulk Tank 2 Size (gallons)</t>
  </si>
  <si>
    <t>Bulk Tank 1 Size (gallons)</t>
  </si>
  <si>
    <t>Bulk tank 1</t>
  </si>
  <si>
    <t>Bulk tank 2</t>
  </si>
  <si>
    <t>Enter information in blue cells only</t>
  </si>
  <si>
    <t>Storage facility 25% larger than needed?</t>
  </si>
  <si>
    <t>Storage Capacity as a Percent of Needed Capacity</t>
  </si>
  <si>
    <t>% of need</t>
  </si>
  <si>
    <t>excess or shortage (cu ft)</t>
  </si>
  <si>
    <t>Estimate Checks</t>
  </si>
  <si>
    <t xml:space="preserve">     All cows</t>
  </si>
  <si>
    <t>(enter only for months in critical storage period)</t>
  </si>
  <si>
    <t>http://www.wcc.nrcs.usda.gov/water/climate</t>
  </si>
  <si>
    <t>Preferred</t>
  </si>
  <si>
    <t>Breed (H, J):</t>
  </si>
  <si>
    <t>H</t>
  </si>
  <si>
    <t>Predicted DMI (lb/d)</t>
  </si>
  <si>
    <t>(choose method from above table for each group)</t>
  </si>
  <si>
    <t>Lactating Cow</t>
  </si>
  <si>
    <t>Dry Cow</t>
  </si>
  <si>
    <t>Volume of Liquid Waste to Store (gal)</t>
  </si>
  <si>
    <t>Volume of Solid Waste to Store (gal)</t>
  </si>
  <si>
    <t xml:space="preserve">  to below</t>
  </si>
  <si>
    <t xml:space="preserve">  Transfer</t>
  </si>
  <si>
    <t xml:space="preserve">     Solid (approx. 20% DM)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</si>
</sst>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7"/>
      <name val="Arial"/>
      <family val="2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6" fontId="0" fillId="0" borderId="2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4" xfId="0" applyBorder="1" applyAlignment="1">
      <alignment horizontal="left"/>
    </xf>
    <xf numFmtId="166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3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166" fontId="0" fillId="0" borderId="17" xfId="0" applyNumberFormat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0" xfId="5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Manure Production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2"/>
          <c:w val="0.95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Coefficients!$B$2</c:f>
              <c:strCache>
                <c:ptCount val="1"/>
                <c:pt idx="0">
                  <c:v>Manure (gal)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Coefficients!$A$3:$A$16</c:f>
              <c:numCache>
                <c:ptCount val="14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cat>
          <c:val>
            <c:numRef>
              <c:f>Coefficients!$B$3:$B$16</c:f>
              <c:numCache>
                <c:ptCount val="14"/>
                <c:pt idx="0">
                  <c:v>9.7</c:v>
                </c:pt>
                <c:pt idx="1">
                  <c:v>14.7</c:v>
                </c:pt>
                <c:pt idx="2">
                  <c:v>14.9</c:v>
                </c:pt>
                <c:pt idx="3">
                  <c:v>15.1</c:v>
                </c:pt>
                <c:pt idx="4">
                  <c:v>16.2</c:v>
                </c:pt>
                <c:pt idx="5">
                  <c:v>17.2</c:v>
                </c:pt>
                <c:pt idx="6">
                  <c:v>18.3</c:v>
                </c:pt>
                <c:pt idx="7">
                  <c:v>19.3</c:v>
                </c:pt>
                <c:pt idx="8">
                  <c:v>20.1</c:v>
                </c:pt>
                <c:pt idx="9">
                  <c:v>20.8</c:v>
                </c:pt>
                <c:pt idx="10">
                  <c:v>21.5</c:v>
                </c:pt>
                <c:pt idx="11">
                  <c:v>22.2</c:v>
                </c:pt>
                <c:pt idx="12">
                  <c:v>22.9</c:v>
                </c:pt>
                <c:pt idx="13">
                  <c:v>23.6</c:v>
                </c:pt>
              </c:numCache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Production (lb)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Manure Production (gal/d)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Predicted from Dry Matter Intake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25"/>
          <c:w val="0.94525"/>
          <c:h val="0.824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Coefficients!$A$26:$A$41</c:f>
              <c:numCache>
                <c:ptCount val="16"/>
                <c:pt idx="0">
                  <c:v>70</c:v>
                </c:pt>
                <c:pt idx="1">
                  <c:v>73</c:v>
                </c:pt>
                <c:pt idx="2">
                  <c:v>76</c:v>
                </c:pt>
                <c:pt idx="3">
                  <c:v>79</c:v>
                </c:pt>
                <c:pt idx="4">
                  <c:v>82</c:v>
                </c:pt>
                <c:pt idx="5">
                  <c:v>85</c:v>
                </c:pt>
                <c:pt idx="6">
                  <c:v>88</c:v>
                </c:pt>
                <c:pt idx="7">
                  <c:v>91</c:v>
                </c:pt>
                <c:pt idx="8">
                  <c:v>94</c:v>
                </c:pt>
                <c:pt idx="9">
                  <c:v>97</c:v>
                </c:pt>
                <c:pt idx="10">
                  <c:v>100</c:v>
                </c:pt>
                <c:pt idx="11">
                  <c:v>103</c:v>
                </c:pt>
                <c:pt idx="12">
                  <c:v>106</c:v>
                </c:pt>
                <c:pt idx="13">
                  <c:v>109</c:v>
                </c:pt>
                <c:pt idx="14">
                  <c:v>112</c:v>
                </c:pt>
                <c:pt idx="15">
                  <c:v>115</c:v>
                </c:pt>
              </c:numCache>
            </c:numRef>
          </c:cat>
          <c:val>
            <c:numRef>
              <c:f>Coefficients!$D$26:$D$41</c:f>
              <c:numCache>
                <c:ptCount val="16"/>
                <c:pt idx="0">
                  <c:v>13.630916716596763</c:v>
                </c:pt>
                <c:pt idx="1">
                  <c:v>13.930497303774715</c:v>
                </c:pt>
                <c:pt idx="2">
                  <c:v>14.230077890952664</c:v>
                </c:pt>
                <c:pt idx="3">
                  <c:v>14.529658478130619</c:v>
                </c:pt>
                <c:pt idx="4">
                  <c:v>14.829239065308569</c:v>
                </c:pt>
                <c:pt idx="5">
                  <c:v>15.12881965248652</c:v>
                </c:pt>
                <c:pt idx="6">
                  <c:v>15.428400239664468</c:v>
                </c:pt>
                <c:pt idx="7">
                  <c:v>15.727980826842419</c:v>
                </c:pt>
                <c:pt idx="8">
                  <c:v>16.027561414020372</c:v>
                </c:pt>
                <c:pt idx="9">
                  <c:v>16.32714200119832</c:v>
                </c:pt>
                <c:pt idx="10">
                  <c:v>16.626722588376275</c:v>
                </c:pt>
                <c:pt idx="11">
                  <c:v>16.926303175554224</c:v>
                </c:pt>
                <c:pt idx="12">
                  <c:v>17.225883762732174</c:v>
                </c:pt>
                <c:pt idx="13">
                  <c:v>17.525464349910127</c:v>
                </c:pt>
                <c:pt idx="14">
                  <c:v>17.825044937088077</c:v>
                </c:pt>
                <c:pt idx="15">
                  <c:v>18.12462552426603</c:v>
                </c:pt>
              </c:numCache>
            </c:numRef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Coefficients!$A$26:$A$41</c:f>
              <c:numCache>
                <c:ptCount val="16"/>
                <c:pt idx="0">
                  <c:v>70</c:v>
                </c:pt>
                <c:pt idx="1">
                  <c:v>73</c:v>
                </c:pt>
                <c:pt idx="2">
                  <c:v>76</c:v>
                </c:pt>
                <c:pt idx="3">
                  <c:v>79</c:v>
                </c:pt>
                <c:pt idx="4">
                  <c:v>82</c:v>
                </c:pt>
                <c:pt idx="5">
                  <c:v>85</c:v>
                </c:pt>
                <c:pt idx="6">
                  <c:v>88</c:v>
                </c:pt>
                <c:pt idx="7">
                  <c:v>91</c:v>
                </c:pt>
                <c:pt idx="8">
                  <c:v>94</c:v>
                </c:pt>
                <c:pt idx="9">
                  <c:v>97</c:v>
                </c:pt>
                <c:pt idx="10">
                  <c:v>100</c:v>
                </c:pt>
                <c:pt idx="11">
                  <c:v>103</c:v>
                </c:pt>
                <c:pt idx="12">
                  <c:v>106</c:v>
                </c:pt>
                <c:pt idx="13">
                  <c:v>109</c:v>
                </c:pt>
                <c:pt idx="14">
                  <c:v>112</c:v>
                </c:pt>
                <c:pt idx="15">
                  <c:v>115</c:v>
                </c:pt>
              </c:numCache>
            </c:numRef>
          </c:cat>
          <c:val>
            <c:numRef>
              <c:f>Coefficients!$E$26:$E$41</c:f>
              <c:numCache>
                <c:ptCount val="16"/>
                <c:pt idx="0">
                  <c:v>15.578190533253444</c:v>
                </c:pt>
                <c:pt idx="1">
                  <c:v>15.877771120431397</c:v>
                </c:pt>
                <c:pt idx="2">
                  <c:v>16.177351707609347</c:v>
                </c:pt>
                <c:pt idx="3">
                  <c:v>16.476932294787296</c:v>
                </c:pt>
                <c:pt idx="4">
                  <c:v>16.77651288196525</c:v>
                </c:pt>
                <c:pt idx="5">
                  <c:v>17.0760934691432</c:v>
                </c:pt>
                <c:pt idx="6">
                  <c:v>17.375674056321152</c:v>
                </c:pt>
                <c:pt idx="7">
                  <c:v>17.6752546434991</c:v>
                </c:pt>
                <c:pt idx="8">
                  <c:v>17.974835230677048</c:v>
                </c:pt>
                <c:pt idx="9">
                  <c:v>18.274415817855004</c:v>
                </c:pt>
                <c:pt idx="10">
                  <c:v>18.573996405032954</c:v>
                </c:pt>
                <c:pt idx="11">
                  <c:v>18.873576992210907</c:v>
                </c:pt>
                <c:pt idx="12">
                  <c:v>19.173157579388853</c:v>
                </c:pt>
                <c:pt idx="13">
                  <c:v>19.472738166566803</c:v>
                </c:pt>
                <c:pt idx="14">
                  <c:v>19.77231875374476</c:v>
                </c:pt>
                <c:pt idx="15">
                  <c:v>20.071899340922705</c:v>
                </c:pt>
              </c:numCache>
            </c:numRef>
          </c:val>
          <c:smooth val="0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Production (lb)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Manure Production (gal/d)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79</xdr:row>
      <xdr:rowOff>104775</xdr:rowOff>
    </xdr:from>
    <xdr:to>
      <xdr:col>3</xdr:col>
      <xdr:colOff>152400</xdr:colOff>
      <xdr:row>87</xdr:row>
      <xdr:rowOff>19050</xdr:rowOff>
    </xdr:to>
    <xdr:grpSp>
      <xdr:nvGrpSpPr>
        <xdr:cNvPr id="1" name="Group 36"/>
        <xdr:cNvGrpSpPr>
          <a:grpSpLocks/>
        </xdr:cNvGrpSpPr>
      </xdr:nvGrpSpPr>
      <xdr:grpSpPr>
        <a:xfrm>
          <a:off x="85725" y="13106400"/>
          <a:ext cx="3343275" cy="1209675"/>
          <a:chOff x="13" y="1374"/>
          <a:chExt cx="298" cy="132"/>
        </a:xfrm>
        <a:solidFill>
          <a:srgbClr val="FFFFFF"/>
        </a:solidFill>
      </xdr:grpSpPr>
      <xdr:pic>
        <xdr:nvPicPr>
          <xdr:cNvPr id="2" name="Picture 27" descr="C:\My Documents\trapezoid.bmp"/>
          <xdr:cNvPicPr preferRelativeResize="1">
            <a:picLocks noChangeAspect="1"/>
          </xdr:cNvPicPr>
        </xdr:nvPicPr>
        <xdr:blipFill>
          <a:blip r:embed="rId1"/>
          <a:srcRect l="15145" t="41960" b="2488"/>
          <a:stretch>
            <a:fillRect/>
          </a:stretch>
        </xdr:blipFill>
        <xdr:spPr>
          <a:xfrm>
            <a:off x="13" y="1374"/>
            <a:ext cx="298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241" y="1465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281" y="1429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rise</a:t>
            </a:r>
          </a:p>
        </xdr:txBody>
      </xdr:sp>
      <xdr:sp>
        <xdr:nvSpPr>
          <xdr:cNvPr id="5" name="Line 30"/>
          <xdr:cNvSpPr>
            <a:spLocks/>
          </xdr:cNvSpPr>
        </xdr:nvSpPr>
        <xdr:spPr>
          <a:xfrm>
            <a:off x="237" y="148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1"/>
          <xdr:cNvSpPr>
            <a:spLocks/>
          </xdr:cNvSpPr>
        </xdr:nvSpPr>
        <xdr:spPr>
          <a:xfrm flipV="1">
            <a:off x="294" y="1392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32"/>
          <xdr:cNvSpPr txBox="1">
            <a:spLocks noChangeArrowheads="1"/>
          </xdr:cNvSpPr>
        </xdr:nvSpPr>
        <xdr:spPr>
          <a:xfrm>
            <a:off x="56" y="1380"/>
            <a:ext cx="20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sizing is only accurate for storage facilities with trapezoidal shape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c.nrcs.usda.gov/water/climat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8"/>
  <sheetViews>
    <sheetView tabSelected="1" zoomScale="90" zoomScaleNormal="90" zoomScalePageLayoutView="0" workbookViewId="0" topLeftCell="A1">
      <selection activeCell="G96" sqref="G96"/>
    </sheetView>
  </sheetViews>
  <sheetFormatPr defaultColWidth="9.140625" defaultRowHeight="12.75"/>
  <cols>
    <col min="1" max="1" width="28.140625" style="0" customWidth="1"/>
    <col min="2" max="2" width="9.7109375" style="0" bestFit="1" customWidth="1"/>
    <col min="3" max="4" width="11.28125" style="0" customWidth="1"/>
    <col min="5" max="5" width="11.140625" style="0" customWidth="1"/>
    <col min="6" max="6" width="10.28125" style="0" customWidth="1"/>
    <col min="7" max="7" width="11.140625" style="0" customWidth="1"/>
    <col min="8" max="8" width="9.8515625" style="0" customWidth="1"/>
    <col min="9" max="9" width="11.140625" style="0" customWidth="1"/>
    <col min="10" max="10" width="15.57421875" style="0" customWidth="1"/>
  </cols>
  <sheetData>
    <row r="1" spans="1:4" ht="18">
      <c r="A1" s="97" t="s">
        <v>31</v>
      </c>
      <c r="D1" s="41" t="s">
        <v>173</v>
      </c>
    </row>
    <row r="3" spans="1:6" ht="15.75">
      <c r="A3" s="42" t="s">
        <v>29</v>
      </c>
      <c r="B3" s="68"/>
      <c r="C3" s="118" t="s">
        <v>183</v>
      </c>
      <c r="D3" s="119" t="s">
        <v>184</v>
      </c>
      <c r="E3" s="67" t="s">
        <v>185</v>
      </c>
      <c r="F3" s="66"/>
    </row>
    <row r="4" spans="2:11" ht="12.75">
      <c r="B4" s="47"/>
      <c r="C4" s="22"/>
      <c r="D4" s="117" t="s">
        <v>187</v>
      </c>
      <c r="E4" s="22">
        <f>0.02*C8+IF(D3="h",0.35,0.4)*D8</f>
        <v>56</v>
      </c>
      <c r="F4" s="122" t="s">
        <v>192</v>
      </c>
      <c r="G4" s="22"/>
      <c r="H4" s="25"/>
      <c r="I4" s="25"/>
      <c r="J4" s="25"/>
      <c r="K4" s="22"/>
    </row>
    <row r="5" spans="2:8" ht="13.5" thickBot="1">
      <c r="B5" s="53"/>
      <c r="C5" s="25"/>
      <c r="D5" s="116" t="s">
        <v>188</v>
      </c>
      <c r="E5" s="25">
        <f>0.02*C9</f>
        <v>28</v>
      </c>
      <c r="F5" s="123" t="s">
        <v>191</v>
      </c>
      <c r="H5" s="36" t="s">
        <v>30</v>
      </c>
    </row>
    <row r="6" spans="2:10" ht="12.75" customHeight="1" thickTop="1">
      <c r="B6" s="124" t="s">
        <v>24</v>
      </c>
      <c r="C6" s="129" t="s">
        <v>23</v>
      </c>
      <c r="D6" s="129" t="s">
        <v>26</v>
      </c>
      <c r="E6" s="129" t="s">
        <v>27</v>
      </c>
      <c r="F6" s="129" t="s">
        <v>86</v>
      </c>
      <c r="G6" s="129" t="s">
        <v>87</v>
      </c>
      <c r="H6" s="126" t="s">
        <v>25</v>
      </c>
      <c r="I6" s="127"/>
      <c r="J6" s="128"/>
    </row>
    <row r="7" spans="1:10" ht="12.75" customHeight="1">
      <c r="A7" s="25"/>
      <c r="B7" s="125"/>
      <c r="C7" s="130"/>
      <c r="D7" s="130"/>
      <c r="E7" s="130"/>
      <c r="F7" s="130"/>
      <c r="G7" s="130"/>
      <c r="H7" s="30" t="s">
        <v>115</v>
      </c>
      <c r="I7" s="21" t="s">
        <v>116</v>
      </c>
      <c r="J7" s="31" t="s">
        <v>117</v>
      </c>
    </row>
    <row r="8" spans="1:10" ht="12.75">
      <c r="A8" s="32" t="s">
        <v>0</v>
      </c>
      <c r="B8" s="26">
        <v>1056</v>
      </c>
      <c r="C8" s="27">
        <v>1400</v>
      </c>
      <c r="D8" s="27">
        <v>80</v>
      </c>
      <c r="E8" s="27">
        <v>56</v>
      </c>
      <c r="F8" s="27">
        <v>70</v>
      </c>
      <c r="G8" s="27">
        <v>100</v>
      </c>
      <c r="H8" s="10">
        <f>15+0.2*(D8-50)</f>
        <v>21</v>
      </c>
      <c r="I8" s="19">
        <f>E8*(1-F8/100+0.05)/0.14/8.345</f>
        <v>16.776512881965246</v>
      </c>
      <c r="J8" s="11">
        <f>(2.6/1000*C8)/0.134</f>
        <v>27.164179104477608</v>
      </c>
    </row>
    <row r="9" spans="1:10" ht="12.75">
      <c r="A9" s="33" t="s">
        <v>1</v>
      </c>
      <c r="B9" s="26">
        <v>186</v>
      </c>
      <c r="C9" s="27">
        <v>1400</v>
      </c>
      <c r="D9" s="27">
        <v>0</v>
      </c>
      <c r="E9" s="27">
        <v>28</v>
      </c>
      <c r="F9" s="27">
        <v>60</v>
      </c>
      <c r="G9" s="27">
        <v>100</v>
      </c>
      <c r="H9" s="10">
        <v>10</v>
      </c>
      <c r="I9" s="19">
        <f>E9*(1-F9/100+0.05)/0.14/8.345</f>
        <v>10.784901138406228</v>
      </c>
      <c r="J9" s="11">
        <f>C9*0.0075</f>
        <v>10.5</v>
      </c>
    </row>
    <row r="10" spans="1:10" ht="12.75">
      <c r="A10" s="33" t="s">
        <v>2</v>
      </c>
      <c r="B10" s="26">
        <v>0</v>
      </c>
      <c r="C10" s="27">
        <v>1000</v>
      </c>
      <c r="D10" s="27">
        <v>0</v>
      </c>
      <c r="E10" s="27"/>
      <c r="F10" s="27"/>
      <c r="G10" s="27">
        <v>50</v>
      </c>
      <c r="H10" s="10"/>
      <c r="I10" s="19">
        <f>E10*(1-F10/100+0.05)/0.14/8.345</f>
        <v>0</v>
      </c>
      <c r="J10" s="11">
        <f>C10*0.0099</f>
        <v>9.9</v>
      </c>
    </row>
    <row r="11" spans="1:10" ht="13.5" thickBot="1">
      <c r="A11" s="34" t="s">
        <v>3</v>
      </c>
      <c r="B11" s="28">
        <v>0</v>
      </c>
      <c r="C11" s="29">
        <v>500</v>
      </c>
      <c r="D11" s="29">
        <v>0</v>
      </c>
      <c r="E11" s="29"/>
      <c r="F11" s="29"/>
      <c r="G11" s="29">
        <v>100</v>
      </c>
      <c r="H11" s="39"/>
      <c r="I11" s="35">
        <f>E11*(1-F11/100+0.05)/0.14/8.345</f>
        <v>0</v>
      </c>
      <c r="J11" s="40">
        <f>C11*0.0099</f>
        <v>4.95</v>
      </c>
    </row>
    <row r="12" ht="13.5" thickTop="1">
      <c r="I12" s="1" t="s">
        <v>182</v>
      </c>
    </row>
    <row r="13" spans="1:4" ht="12.75">
      <c r="A13" s="37" t="s">
        <v>28</v>
      </c>
      <c r="B13" s="37"/>
      <c r="C13" s="49" t="s">
        <v>186</v>
      </c>
      <c r="D13" s="38"/>
    </row>
    <row r="14" spans="1:3" ht="12.75">
      <c r="A14" t="s">
        <v>0</v>
      </c>
      <c r="B14" s="7">
        <f>IF(C14=1,H8,IF(C14=2,I8,IF(C14=3,J8,"Use 1-3")))</f>
        <v>16.776512881965246</v>
      </c>
      <c r="C14" s="48">
        <v>2</v>
      </c>
    </row>
    <row r="15" spans="1:3" ht="12.75">
      <c r="A15" t="s">
        <v>1</v>
      </c>
      <c r="B15" s="7">
        <f>IF(C15=1,H9,IF(C15=2,I9,IF(C15=3,J9)))</f>
        <v>10.784901138406228</v>
      </c>
      <c r="C15" s="48">
        <v>2</v>
      </c>
    </row>
    <row r="16" spans="1:3" ht="12.75">
      <c r="A16" t="s">
        <v>2</v>
      </c>
      <c r="B16" s="7">
        <f>IF(C16=1,H10,IF(C16=2,I10,IF(C16=3,J10)))</f>
        <v>9.9</v>
      </c>
      <c r="C16" s="48">
        <v>3</v>
      </c>
    </row>
    <row r="17" spans="1:3" ht="12.75">
      <c r="A17" t="s">
        <v>3</v>
      </c>
      <c r="B17" s="7">
        <f>IF(C17=1,H11,IF(C17=2,I11,IF(C17=3,J11)))</f>
        <v>4.95</v>
      </c>
      <c r="C17" s="48">
        <v>3</v>
      </c>
    </row>
    <row r="19" spans="8:10" ht="12.75">
      <c r="H19" s="104"/>
      <c r="I19" s="104"/>
      <c r="J19" s="104"/>
    </row>
    <row r="20" spans="1:11" ht="15.75">
      <c r="A20" s="42" t="s">
        <v>66</v>
      </c>
      <c r="B20" s="25"/>
      <c r="C20" s="25"/>
      <c r="D20" s="25"/>
      <c r="E20" s="25"/>
      <c r="F20" s="25"/>
      <c r="G20" s="25"/>
      <c r="H20" s="25"/>
      <c r="I20" s="110"/>
      <c r="J20" s="110"/>
      <c r="K20" s="22"/>
    </row>
    <row r="21" spans="7:10" ht="12.75">
      <c r="G21" s="109" t="s">
        <v>180</v>
      </c>
      <c r="I21" s="109"/>
      <c r="J21" s="109"/>
    </row>
    <row r="22" spans="1:10" ht="12.75">
      <c r="A22" s="84" t="s">
        <v>32</v>
      </c>
      <c r="B22" s="25"/>
      <c r="D22" s="84" t="s">
        <v>41</v>
      </c>
      <c r="E22" s="25"/>
      <c r="F22" s="25"/>
      <c r="H22" s="84" t="s">
        <v>85</v>
      </c>
      <c r="I22" s="25"/>
      <c r="J22" s="25"/>
    </row>
    <row r="23" spans="1:10" ht="12.75">
      <c r="A23" s="47" t="s">
        <v>36</v>
      </c>
      <c r="B23" s="52">
        <v>3</v>
      </c>
      <c r="D23" s="47" t="s">
        <v>0</v>
      </c>
      <c r="E23" s="22"/>
      <c r="F23" s="57"/>
      <c r="H23" s="58" t="s">
        <v>50</v>
      </c>
      <c r="I23" s="59" t="s">
        <v>51</v>
      </c>
      <c r="J23" s="60" t="s">
        <v>52</v>
      </c>
    </row>
    <row r="24" spans="1:11" ht="12.75">
      <c r="A24" s="47" t="s">
        <v>170</v>
      </c>
      <c r="B24" s="52">
        <v>7000</v>
      </c>
      <c r="D24" s="47" t="s">
        <v>80</v>
      </c>
      <c r="E24" s="22"/>
      <c r="F24" s="52">
        <v>3</v>
      </c>
      <c r="H24" s="47" t="s">
        <v>53</v>
      </c>
      <c r="I24" s="61">
        <v>4.63</v>
      </c>
      <c r="J24" s="62">
        <v>1</v>
      </c>
      <c r="K24" s="44"/>
    </row>
    <row r="25" spans="1:11" ht="12.75">
      <c r="A25" s="47" t="s">
        <v>169</v>
      </c>
      <c r="B25" s="52">
        <v>7000</v>
      </c>
      <c r="D25" s="47" t="s">
        <v>81</v>
      </c>
      <c r="E25" s="22"/>
      <c r="F25" s="52">
        <v>2</v>
      </c>
      <c r="H25" s="47" t="s">
        <v>54</v>
      </c>
      <c r="I25" s="61">
        <v>4.2</v>
      </c>
      <c r="J25" s="62">
        <v>1.6</v>
      </c>
      <c r="K25" s="44"/>
    </row>
    <row r="26" spans="1:11" ht="12.75">
      <c r="A26" s="47" t="s">
        <v>68</v>
      </c>
      <c r="B26" s="52">
        <v>2</v>
      </c>
      <c r="D26" s="47" t="s">
        <v>82</v>
      </c>
      <c r="E26" s="22"/>
      <c r="F26" s="52">
        <v>0</v>
      </c>
      <c r="H26" s="47" t="s">
        <v>55</v>
      </c>
      <c r="I26" s="61">
        <v>5.47</v>
      </c>
      <c r="J26" s="62">
        <v>2.5</v>
      </c>
      <c r="K26" s="44"/>
    </row>
    <row r="27" spans="1:10" ht="12.75">
      <c r="A27" s="47" t="s">
        <v>33</v>
      </c>
      <c r="B27" s="52">
        <v>22</v>
      </c>
      <c r="D27" s="47" t="s">
        <v>1</v>
      </c>
      <c r="E27" s="22"/>
      <c r="F27" s="52"/>
      <c r="H27" s="47" t="s">
        <v>56</v>
      </c>
      <c r="I27" s="61"/>
      <c r="J27" s="62"/>
    </row>
    <row r="28" spans="1:10" ht="12.75">
      <c r="A28" s="47" t="s">
        <v>34</v>
      </c>
      <c r="B28" s="52" t="s">
        <v>76</v>
      </c>
      <c r="D28" s="47" t="s">
        <v>80</v>
      </c>
      <c r="E28" s="22"/>
      <c r="F28" s="52">
        <v>3</v>
      </c>
      <c r="H28" s="47" t="s">
        <v>57</v>
      </c>
      <c r="I28" s="61"/>
      <c r="J28" s="62"/>
    </row>
    <row r="29" spans="1:10" ht="12.75">
      <c r="A29" s="47" t="s">
        <v>35</v>
      </c>
      <c r="B29" s="52">
        <v>2</v>
      </c>
      <c r="D29" s="47" t="s">
        <v>81</v>
      </c>
      <c r="E29" s="22"/>
      <c r="F29" s="52">
        <v>3</v>
      </c>
      <c r="H29" s="47" t="s">
        <v>58</v>
      </c>
      <c r="I29" s="61"/>
      <c r="J29" s="62"/>
    </row>
    <row r="30" spans="1:10" ht="12.75">
      <c r="A30" s="47" t="s">
        <v>39</v>
      </c>
      <c r="B30" s="52"/>
      <c r="D30" s="47" t="s">
        <v>82</v>
      </c>
      <c r="E30" s="22"/>
      <c r="F30" s="52">
        <v>0</v>
      </c>
      <c r="H30" s="47" t="s">
        <v>59</v>
      </c>
      <c r="I30" s="61"/>
      <c r="J30" s="62"/>
    </row>
    <row r="31" spans="1:10" ht="12.75">
      <c r="A31" s="47" t="s">
        <v>73</v>
      </c>
      <c r="B31" s="52"/>
      <c r="D31" s="47" t="s">
        <v>83</v>
      </c>
      <c r="E31" s="22"/>
      <c r="F31" s="52"/>
      <c r="H31" s="47" t="s">
        <v>60</v>
      </c>
      <c r="I31" s="61"/>
      <c r="J31" s="62"/>
    </row>
    <row r="32" spans="1:10" ht="12.75">
      <c r="A32" s="47" t="s">
        <v>37</v>
      </c>
      <c r="B32" s="52" t="s">
        <v>76</v>
      </c>
      <c r="D32" s="47" t="s">
        <v>80</v>
      </c>
      <c r="E32" s="22"/>
      <c r="F32" s="52">
        <v>1</v>
      </c>
      <c r="H32" s="47" t="s">
        <v>61</v>
      </c>
      <c r="I32" s="61"/>
      <c r="J32" s="62"/>
    </row>
    <row r="33" spans="1:10" ht="12.75">
      <c r="A33" s="47" t="s">
        <v>168</v>
      </c>
      <c r="B33" s="52">
        <v>10</v>
      </c>
      <c r="D33" s="47" t="s">
        <v>81</v>
      </c>
      <c r="E33" s="22"/>
      <c r="F33" s="52">
        <v>3</v>
      </c>
      <c r="H33" s="47" t="s">
        <v>62</v>
      </c>
      <c r="I33" s="61">
        <v>2.68</v>
      </c>
      <c r="J33" s="62">
        <v>2.5</v>
      </c>
    </row>
    <row r="34" spans="1:10" ht="12.75">
      <c r="A34" s="47" t="s">
        <v>40</v>
      </c>
      <c r="B34" s="52"/>
      <c r="D34" s="47" t="s">
        <v>82</v>
      </c>
      <c r="E34" s="22"/>
      <c r="F34" s="52">
        <v>0</v>
      </c>
      <c r="H34" s="47" t="s">
        <v>63</v>
      </c>
      <c r="I34" s="61">
        <v>4.17</v>
      </c>
      <c r="J34" s="62">
        <v>1.6</v>
      </c>
    </row>
    <row r="35" spans="1:10" ht="12.75">
      <c r="A35" s="53" t="s">
        <v>38</v>
      </c>
      <c r="B35" s="54" t="s">
        <v>76</v>
      </c>
      <c r="D35" s="47" t="s">
        <v>84</v>
      </c>
      <c r="E35" s="22"/>
      <c r="F35" s="52"/>
      <c r="H35" s="47" t="s">
        <v>64</v>
      </c>
      <c r="I35" s="61">
        <v>4.58</v>
      </c>
      <c r="J35" s="62">
        <v>1</v>
      </c>
    </row>
    <row r="36" spans="2:10" ht="12.75">
      <c r="B36" s="41"/>
      <c r="D36" s="47" t="s">
        <v>80</v>
      </c>
      <c r="E36" s="22"/>
      <c r="F36" s="52">
        <v>1</v>
      </c>
      <c r="H36" s="63" t="s">
        <v>65</v>
      </c>
      <c r="I36" s="64">
        <f>SUM(I24:I35)</f>
        <v>25.729999999999997</v>
      </c>
      <c r="J36" s="65">
        <f>SUM(J24:J35)</f>
        <v>10.2</v>
      </c>
    </row>
    <row r="37" spans="1:8" ht="12.75">
      <c r="A37" s="84" t="s">
        <v>42</v>
      </c>
      <c r="B37" s="85"/>
      <c r="D37" s="47" t="s">
        <v>81</v>
      </c>
      <c r="E37" s="22"/>
      <c r="F37" s="52">
        <v>3</v>
      </c>
      <c r="H37" s="111" t="s">
        <v>181</v>
      </c>
    </row>
    <row r="38" spans="1:12" ht="12.75">
      <c r="A38" s="47" t="s">
        <v>43</v>
      </c>
      <c r="B38" s="52">
        <v>41</v>
      </c>
      <c r="D38" s="53" t="s">
        <v>82</v>
      </c>
      <c r="E38" s="25"/>
      <c r="F38" s="54">
        <v>0</v>
      </c>
      <c r="H38" s="84" t="s">
        <v>47</v>
      </c>
      <c r="I38" s="25"/>
      <c r="J38" s="25"/>
      <c r="L38" s="22"/>
    </row>
    <row r="39" spans="1:10" ht="12.75">
      <c r="A39" s="47" t="s">
        <v>44</v>
      </c>
      <c r="B39" s="52">
        <v>20</v>
      </c>
      <c r="F39" s="41"/>
      <c r="H39" s="47" t="s">
        <v>48</v>
      </c>
      <c r="I39" s="22"/>
      <c r="J39" s="52">
        <v>180</v>
      </c>
    </row>
    <row r="40" spans="1:10" ht="12.75">
      <c r="A40" s="47" t="s">
        <v>45</v>
      </c>
      <c r="B40" s="52">
        <v>5</v>
      </c>
      <c r="D40" s="84" t="s">
        <v>113</v>
      </c>
      <c r="E40" s="25"/>
      <c r="F40" s="85"/>
      <c r="H40" s="47" t="s">
        <v>98</v>
      </c>
      <c r="I40" s="22"/>
      <c r="J40" s="52">
        <v>5</v>
      </c>
    </row>
    <row r="41" spans="1:10" ht="12.75">
      <c r="A41" s="53" t="s">
        <v>46</v>
      </c>
      <c r="B41" s="55">
        <v>10000</v>
      </c>
      <c r="D41" s="53" t="s">
        <v>114</v>
      </c>
      <c r="E41" s="25"/>
      <c r="F41" s="54"/>
      <c r="H41" s="47" t="s">
        <v>49</v>
      </c>
      <c r="I41" s="22"/>
      <c r="J41" s="52">
        <v>90</v>
      </c>
    </row>
    <row r="42" spans="3:10" ht="12.75">
      <c r="C42" s="43"/>
      <c r="D42" s="105"/>
      <c r="E42" s="108"/>
      <c r="H42" s="53" t="s">
        <v>118</v>
      </c>
      <c r="I42" s="25"/>
      <c r="J42" s="54">
        <v>95</v>
      </c>
    </row>
    <row r="43" spans="1:11" ht="15.75">
      <c r="A43" s="42" t="s">
        <v>67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5" ht="12.75">
      <c r="A44" s="36" t="s">
        <v>32</v>
      </c>
      <c r="E44" s="36" t="s">
        <v>79</v>
      </c>
    </row>
    <row r="45" spans="1:9" ht="12.75">
      <c r="A45" s="68"/>
      <c r="B45" s="69" t="s">
        <v>77</v>
      </c>
      <c r="C45" s="23" t="s">
        <v>78</v>
      </c>
      <c r="E45" s="68"/>
      <c r="F45" s="69" t="s">
        <v>90</v>
      </c>
      <c r="G45" s="67" t="s">
        <v>105</v>
      </c>
      <c r="H45" s="67"/>
      <c r="I45" s="66"/>
    </row>
    <row r="46" spans="1:9" ht="12.75">
      <c r="A46" s="47" t="s">
        <v>171</v>
      </c>
      <c r="B46" s="47">
        <f>IF(AND(B24&gt;449,B24&lt;=2000),46,IF(AND(B24&gt;2999,B24&lt;=4000),78,IF(B24&gt;=5000,116,0)))</f>
        <v>116</v>
      </c>
      <c r="C46" s="70">
        <f>B46*B26</f>
        <v>232</v>
      </c>
      <c r="E46" s="47" t="s">
        <v>88</v>
      </c>
      <c r="F46" s="120">
        <f>VLOOKUP(F24,Bedding_Materials,IF(F25=1,3,IF(F25=2,4,IF(F25=3,5))))</f>
        <v>2.2</v>
      </c>
      <c r="G46" s="22">
        <f>F46*F26</f>
        <v>0</v>
      </c>
      <c r="H46" s="22"/>
      <c r="I46" s="70"/>
    </row>
    <row r="47" spans="1:9" ht="12.75">
      <c r="A47" s="47" t="s">
        <v>172</v>
      </c>
      <c r="B47" s="47">
        <f>IF(AND(B25&gt;449,B25&lt;=2000),46,IF(AND(B25&gt;2999,B25&lt;=4000),78,IF(B25&gt;=5000,116,0)))</f>
        <v>116</v>
      </c>
      <c r="C47" s="70">
        <f>B47*B26</f>
        <v>232</v>
      </c>
      <c r="E47" s="47" t="s">
        <v>89</v>
      </c>
      <c r="F47" s="120">
        <f>VLOOKUP(F28,Bedding_Materials,IF(F29=1,3,IF(F29=2,4,IF(F29=3,5))))</f>
        <v>1.35</v>
      </c>
      <c r="G47" s="22">
        <f>F47*F30</f>
        <v>0</v>
      </c>
      <c r="H47" s="22"/>
      <c r="I47" s="70"/>
    </row>
    <row r="48" spans="1:9" ht="12.75">
      <c r="A48" s="47" t="s">
        <v>69</v>
      </c>
      <c r="B48" s="47">
        <f>IF(B27*2&lt;=16,60,140)</f>
        <v>140</v>
      </c>
      <c r="C48" s="70">
        <f>B48*B23</f>
        <v>420</v>
      </c>
      <c r="E48" s="47" t="s">
        <v>83</v>
      </c>
      <c r="F48" s="120">
        <f>VLOOKUP(F32,Bedding_Materials,IF(F33=1,3,IF(F33=2,4,IF(F33=3,5))))</f>
        <v>19.4</v>
      </c>
      <c r="G48" s="22">
        <f>F48*F34</f>
        <v>0</v>
      </c>
      <c r="H48" s="22"/>
      <c r="I48" s="70"/>
    </row>
    <row r="49" spans="1:9" ht="12.75">
      <c r="A49" s="47" t="s">
        <v>70</v>
      </c>
      <c r="B49" s="47">
        <f>IF(B27*2&lt;=16,400,900)</f>
        <v>900</v>
      </c>
      <c r="C49" s="70">
        <f>B49*B23</f>
        <v>2700</v>
      </c>
      <c r="E49" s="53" t="s">
        <v>84</v>
      </c>
      <c r="F49" s="121">
        <f>VLOOKUP(F36,Bedding_Materials,IF(F37=1,3,IF(F37=2,4,IF(F37=3,5))))</f>
        <v>19.4</v>
      </c>
      <c r="G49" s="25">
        <f>F49*F38</f>
        <v>0</v>
      </c>
      <c r="H49" s="25"/>
      <c r="I49" s="46"/>
    </row>
    <row r="50" spans="1:3" ht="12.75">
      <c r="A50" s="47" t="s">
        <v>71</v>
      </c>
      <c r="B50" s="47">
        <v>0.5</v>
      </c>
      <c r="C50" s="70">
        <f>IF(B28="y",B50*B23*B8,"")</f>
      </c>
    </row>
    <row r="51" spans="1:3" ht="12.75">
      <c r="A51" s="47" t="s">
        <v>72</v>
      </c>
      <c r="B51" s="47">
        <f>IF(B29=1,4,IF(B29=2,0.25,IF(B29=3,2,IF(B29=4,5*B30*B31,""))))</f>
        <v>0.25</v>
      </c>
      <c r="C51" s="70">
        <f>B51*B23*B8</f>
        <v>792</v>
      </c>
    </row>
    <row r="52" spans="1:3" ht="12.75">
      <c r="A52" s="47" t="s">
        <v>74</v>
      </c>
      <c r="B52" s="98">
        <f>40-B33</f>
        <v>30</v>
      </c>
      <c r="C52" s="70">
        <f>IF(B32="y",B52*B34*(B8+B9),"")</f>
      </c>
    </row>
    <row r="53" spans="1:3" ht="12.75">
      <c r="A53" s="53" t="s">
        <v>75</v>
      </c>
      <c r="B53" s="53">
        <v>8</v>
      </c>
      <c r="C53" s="46">
        <f>IF(B35="y",B53*B8,"")</f>
      </c>
    </row>
    <row r="55" spans="1:6" ht="12.75">
      <c r="A55" s="36" t="s">
        <v>189</v>
      </c>
      <c r="F55" s="36" t="s">
        <v>190</v>
      </c>
    </row>
    <row r="56" spans="1:10" ht="12.75" customHeight="1">
      <c r="A56" s="50"/>
      <c r="B56" s="45"/>
      <c r="C56" s="17" t="str">
        <f>J39&amp;"-day"</f>
        <v>180-day</v>
      </c>
      <c r="D56" s="17"/>
      <c r="F56" s="71"/>
      <c r="G56" s="56"/>
      <c r="H56" s="45"/>
      <c r="I56" s="17" t="str">
        <f>J41&amp;"-day"</f>
        <v>90-day</v>
      </c>
      <c r="J56" s="16"/>
    </row>
    <row r="57" spans="1:10" ht="12.75" customHeight="1">
      <c r="A57" s="34"/>
      <c r="B57" s="9" t="s">
        <v>100</v>
      </c>
      <c r="C57" s="14" t="s">
        <v>119</v>
      </c>
      <c r="D57" s="14" t="s">
        <v>99</v>
      </c>
      <c r="F57" s="53"/>
      <c r="G57" s="25"/>
      <c r="H57" s="9" t="s">
        <v>100</v>
      </c>
      <c r="I57" s="14" t="s">
        <v>119</v>
      </c>
      <c r="J57" s="5" t="s">
        <v>99</v>
      </c>
    </row>
    <row r="58" spans="1:10" ht="12.75">
      <c r="A58" s="47" t="s">
        <v>101</v>
      </c>
      <c r="B58" s="86">
        <f>(B8*B14)+(B9*B15)+(B10*B16)+(B11*B17)</f>
        <v>19721.989215098856</v>
      </c>
      <c r="C58" s="86"/>
      <c r="D58" s="87">
        <f>B58*365</f>
        <v>7198526.063511083</v>
      </c>
      <c r="F58" s="47" t="s">
        <v>101</v>
      </c>
      <c r="G58" s="22"/>
      <c r="H58" s="86">
        <f>B58</f>
        <v>19721.989215098856</v>
      </c>
      <c r="I58" s="86"/>
      <c r="J58" s="87">
        <f>D58</f>
        <v>7198526.063511083</v>
      </c>
    </row>
    <row r="59" spans="1:10" ht="12.75">
      <c r="A59" s="47" t="s">
        <v>102</v>
      </c>
      <c r="B59" s="86">
        <f>B58*J40/100</f>
        <v>986.0994607549428</v>
      </c>
      <c r="C59" s="86">
        <f>B59*J39</f>
        <v>177497.9029358897</v>
      </c>
      <c r="D59" s="87">
        <f>B59*365</f>
        <v>359926.30317555415</v>
      </c>
      <c r="F59" s="47" t="s">
        <v>110</v>
      </c>
      <c r="G59" s="22"/>
      <c r="H59" s="86">
        <f>H58*J42/100</f>
        <v>18735.889754343913</v>
      </c>
      <c r="I59" s="86">
        <f>H59*J41</f>
        <v>1686230.0778909521</v>
      </c>
      <c r="J59" s="87">
        <f>H59*365</f>
        <v>6838599.760335528</v>
      </c>
    </row>
    <row r="60" spans="1:10" ht="12.75">
      <c r="A60" s="47" t="s">
        <v>103</v>
      </c>
      <c r="B60" s="86">
        <f>SUM(C46:C53)</f>
        <v>4376</v>
      </c>
      <c r="C60" s="86">
        <f>B60*J39</f>
        <v>787680</v>
      </c>
      <c r="D60" s="87">
        <f>B60*365</f>
        <v>1597240</v>
      </c>
      <c r="F60" s="47" t="s">
        <v>111</v>
      </c>
      <c r="G60" s="22"/>
      <c r="H60" s="86">
        <f>((((B8*C8)/1000)*F46)+(((B9*C9)/1000)*F47)+(((B10*C10)/1000)*F48)+(((B11*C11)/1000)*F49))/2</f>
        <v>1802.0100000000002</v>
      </c>
      <c r="I60" s="86">
        <f>H60*J41</f>
        <v>162180.90000000002</v>
      </c>
      <c r="J60" s="87">
        <f>H60*365</f>
        <v>657733.65</v>
      </c>
    </row>
    <row r="61" spans="1:10" ht="12.75">
      <c r="A61" s="47" t="s">
        <v>104</v>
      </c>
      <c r="B61" s="86">
        <f>((((B8*C8)/1000)*G46)+(((B9*C9)/1000)*G47)+(((B10*C10)/1000)*G48)+(((B11*C11)/1000)*G49))/2</f>
        <v>0</v>
      </c>
      <c r="C61" s="86">
        <f>B61*J39</f>
        <v>0</v>
      </c>
      <c r="D61" s="87">
        <f>B61*365</f>
        <v>0</v>
      </c>
      <c r="F61" s="47" t="s">
        <v>112</v>
      </c>
      <c r="G61" s="22"/>
      <c r="H61" s="86">
        <f>F41/0.134</f>
        <v>0</v>
      </c>
      <c r="I61" s="86">
        <f>H61*J41</f>
        <v>0</v>
      </c>
      <c r="J61" s="87">
        <f>H61*365</f>
        <v>0</v>
      </c>
    </row>
    <row r="62" spans="1:10" ht="12.75">
      <c r="A62" s="47" t="s">
        <v>106</v>
      </c>
      <c r="B62" s="86"/>
      <c r="C62" s="86">
        <f>B40*B41*0.625</f>
        <v>31250</v>
      </c>
      <c r="D62" s="87"/>
      <c r="F62" s="47"/>
      <c r="G62" s="22"/>
      <c r="H62" s="86"/>
      <c r="I62" s="86"/>
      <c r="J62" s="87"/>
    </row>
    <row r="63" spans="1:10" ht="12.75">
      <c r="A63" s="47" t="s">
        <v>107</v>
      </c>
      <c r="B63" s="86"/>
      <c r="C63" s="86">
        <f>B41*(I36-J36)*0.625</f>
        <v>97062.49999999999</v>
      </c>
      <c r="D63" s="87">
        <f>B41*(B38-B39)*0.625</f>
        <v>131250</v>
      </c>
      <c r="F63" s="47"/>
      <c r="G63" s="22"/>
      <c r="H63" s="86"/>
      <c r="I63" s="86"/>
      <c r="J63" s="87"/>
    </row>
    <row r="64" spans="1:10" ht="12.75">
      <c r="A64" s="47"/>
      <c r="B64" s="86"/>
      <c r="C64" s="86"/>
      <c r="D64" s="87"/>
      <c r="F64" s="47"/>
      <c r="G64" s="22"/>
      <c r="H64" s="86"/>
      <c r="I64" s="86"/>
      <c r="J64" s="87"/>
    </row>
    <row r="65" spans="1:10" ht="12.75">
      <c r="A65" s="47" t="s">
        <v>108</v>
      </c>
      <c r="B65" s="86">
        <f>SUM(B59:B64)</f>
        <v>5362.099460754943</v>
      </c>
      <c r="C65" s="86">
        <f>SUM(C59:C64)</f>
        <v>1093490.4029358895</v>
      </c>
      <c r="D65" s="87">
        <f>SUM(D59:D64)</f>
        <v>2088416.3031755541</v>
      </c>
      <c r="F65" s="47" t="s">
        <v>108</v>
      </c>
      <c r="G65" s="22"/>
      <c r="H65" s="86">
        <f>SUM(H59:H64)</f>
        <v>20537.89975434391</v>
      </c>
      <c r="I65" s="86">
        <f>SUM(I59:I64)</f>
        <v>1848410.977890952</v>
      </c>
      <c r="J65" s="87">
        <f>SUM(J59:J64)</f>
        <v>7496333.410335529</v>
      </c>
    </row>
    <row r="66" spans="1:10" ht="12.75">
      <c r="A66" s="53" t="s">
        <v>109</v>
      </c>
      <c r="B66" s="88">
        <f>B65*0.134</f>
        <v>718.5213277411624</v>
      </c>
      <c r="C66" s="88">
        <f>C65*0.134</f>
        <v>146527.7139934092</v>
      </c>
      <c r="D66" s="89">
        <f>D65*0.134</f>
        <v>279847.78462552425</v>
      </c>
      <c r="F66" s="53" t="s">
        <v>109</v>
      </c>
      <c r="G66" s="25"/>
      <c r="H66" s="88">
        <f>H65*0.134</f>
        <v>2752.078567082084</v>
      </c>
      <c r="I66" s="88">
        <f>I65*0.134</f>
        <v>247687.0710373876</v>
      </c>
      <c r="J66" s="89">
        <f>J65*0.134</f>
        <v>1004508.6769849609</v>
      </c>
    </row>
    <row r="68" spans="1:6" ht="12.75">
      <c r="A68" s="36" t="s">
        <v>130</v>
      </c>
      <c r="F68" s="36" t="s">
        <v>148</v>
      </c>
    </row>
    <row r="69" spans="1:9" ht="12.75">
      <c r="A69" s="71" t="s">
        <v>131</v>
      </c>
      <c r="B69" s="93">
        <v>2</v>
      </c>
      <c r="C69" s="51" t="s">
        <v>141</v>
      </c>
      <c r="F69" s="71" t="s">
        <v>142</v>
      </c>
      <c r="G69" s="56"/>
      <c r="H69" s="93">
        <v>12</v>
      </c>
      <c r="I69" s="51" t="s">
        <v>139</v>
      </c>
    </row>
    <row r="70" spans="1:9" ht="12.75">
      <c r="A70" s="47" t="s">
        <v>132</v>
      </c>
      <c r="B70" s="92">
        <v>8</v>
      </c>
      <c r="C70" s="70" t="s">
        <v>139</v>
      </c>
      <c r="F70" s="47" t="s">
        <v>144</v>
      </c>
      <c r="G70" s="22"/>
      <c r="H70" s="92">
        <v>500</v>
      </c>
      <c r="I70" s="70" t="s">
        <v>139</v>
      </c>
    </row>
    <row r="71" spans="1:9" ht="12.75">
      <c r="A71" s="47" t="s">
        <v>133</v>
      </c>
      <c r="B71" s="92">
        <v>220</v>
      </c>
      <c r="C71" s="70" t="s">
        <v>139</v>
      </c>
      <c r="F71" s="47" t="s">
        <v>143</v>
      </c>
      <c r="G71" s="22"/>
      <c r="H71" s="92">
        <v>50</v>
      </c>
      <c r="I71" s="70" t="s">
        <v>139</v>
      </c>
    </row>
    <row r="72" spans="1:9" ht="12.75">
      <c r="A72" s="47" t="s">
        <v>134</v>
      </c>
      <c r="B72" s="92">
        <v>100</v>
      </c>
      <c r="C72" s="70" t="s">
        <v>139</v>
      </c>
      <c r="F72" s="47"/>
      <c r="G72" s="22"/>
      <c r="H72" s="22"/>
      <c r="I72" s="70"/>
    </row>
    <row r="73" spans="1:9" ht="12.75">
      <c r="A73" s="47"/>
      <c r="B73" s="22"/>
      <c r="C73" s="70"/>
      <c r="F73" s="53"/>
      <c r="G73" s="75" t="s">
        <v>135</v>
      </c>
      <c r="H73" s="90">
        <f>H69*H70*H71</f>
        <v>300000</v>
      </c>
      <c r="I73" s="46" t="s">
        <v>140</v>
      </c>
    </row>
    <row r="74" spans="1:9" ht="12.75">
      <c r="A74" s="47" t="s">
        <v>138</v>
      </c>
      <c r="B74" s="72">
        <f>B70+((I36-J36)*0.0833)+(B40*0.0833)+0.3</f>
        <v>10.010149</v>
      </c>
      <c r="C74" s="70" t="s">
        <v>139</v>
      </c>
      <c r="H74" s="102">
        <f>H73-I66</f>
        <v>52312.92896261241</v>
      </c>
      <c r="I74" s="100" t="s">
        <v>151</v>
      </c>
    </row>
    <row r="75" spans="1:6" ht="12.75">
      <c r="A75" s="47" t="s">
        <v>136</v>
      </c>
      <c r="B75" s="73">
        <f>(B71-(2*B69*B74))</f>
        <v>179.959404</v>
      </c>
      <c r="C75" s="70" t="s">
        <v>139</v>
      </c>
      <c r="F75" t="s">
        <v>147</v>
      </c>
    </row>
    <row r="76" spans="1:3" ht="12.75">
      <c r="A76" s="47" t="s">
        <v>137</v>
      </c>
      <c r="B76" s="73">
        <f>(B72-(2*B69*B74))</f>
        <v>59.959404</v>
      </c>
      <c r="C76" s="70" t="s">
        <v>139</v>
      </c>
    </row>
    <row r="77" spans="1:3" ht="12.75">
      <c r="A77" s="74" t="s">
        <v>135</v>
      </c>
      <c r="B77" s="90">
        <f>((4*B69^2*B74^3)/3)+(B69*B75*B74^2)+(B69*B76*B74^2)+(B76*B75*B74)</f>
        <v>161442.89309785215</v>
      </c>
      <c r="C77" s="46" t="s">
        <v>140</v>
      </c>
    </row>
    <row r="78" spans="1:6" ht="12.75">
      <c r="A78" s="91"/>
      <c r="B78" s="99">
        <f>B77-C66</f>
        <v>14915.179104442941</v>
      </c>
      <c r="C78" s="100" t="s">
        <v>162</v>
      </c>
      <c r="F78" s="36" t="s">
        <v>149</v>
      </c>
    </row>
    <row r="79" spans="1:9" ht="12.75">
      <c r="A79" s="103"/>
      <c r="B79" s="99">
        <f>B77-C66-I66</f>
        <v>-232771.89193294465</v>
      </c>
      <c r="C79" s="101" t="s">
        <v>161</v>
      </c>
      <c r="F79" s="50" t="s">
        <v>150</v>
      </c>
      <c r="G79" s="56"/>
      <c r="H79" s="94" t="s">
        <v>155</v>
      </c>
      <c r="I79" s="51"/>
    </row>
    <row r="80" spans="6:9" ht="12.75">
      <c r="F80" s="47" t="s">
        <v>132</v>
      </c>
      <c r="G80" s="22" t="s">
        <v>152</v>
      </c>
      <c r="H80" s="22" t="s">
        <v>156</v>
      </c>
      <c r="I80" s="70" t="s">
        <v>159</v>
      </c>
    </row>
    <row r="81" spans="6:9" ht="12.75">
      <c r="F81" s="47" t="s">
        <v>133</v>
      </c>
      <c r="G81" s="22" t="s">
        <v>153</v>
      </c>
      <c r="H81" s="22" t="s">
        <v>157</v>
      </c>
      <c r="I81" s="70" t="s">
        <v>166</v>
      </c>
    </row>
    <row r="82" spans="5:9" ht="12.75">
      <c r="E82" s="104"/>
      <c r="F82" s="47" t="s">
        <v>134</v>
      </c>
      <c r="G82" s="22" t="s">
        <v>154</v>
      </c>
      <c r="H82" s="22" t="s">
        <v>158</v>
      </c>
      <c r="I82" s="70" t="s">
        <v>165</v>
      </c>
    </row>
    <row r="83" spans="6:9" ht="12.75">
      <c r="F83" s="47"/>
      <c r="G83" s="22"/>
      <c r="H83" s="22"/>
      <c r="I83" s="70"/>
    </row>
    <row r="84" spans="6:9" ht="12.75">
      <c r="F84" s="95" t="s">
        <v>160</v>
      </c>
      <c r="G84" s="22"/>
      <c r="H84" s="22"/>
      <c r="I84" s="70"/>
    </row>
    <row r="85" spans="6:9" ht="12.75">
      <c r="F85" s="47" t="s">
        <v>132</v>
      </c>
      <c r="G85" s="96" t="s">
        <v>167</v>
      </c>
      <c r="H85" s="22"/>
      <c r="I85" s="70"/>
    </row>
    <row r="86" spans="6:9" ht="12.75">
      <c r="F86" s="47" t="s">
        <v>133</v>
      </c>
      <c r="G86" s="22" t="s">
        <v>163</v>
      </c>
      <c r="H86" s="22"/>
      <c r="I86" s="70"/>
    </row>
    <row r="87" spans="6:9" ht="12.75">
      <c r="F87" s="53" t="s">
        <v>134</v>
      </c>
      <c r="G87" s="25" t="s">
        <v>164</v>
      </c>
      <c r="H87" s="25"/>
      <c r="I87" s="46"/>
    </row>
    <row r="90" spans="1:6" ht="12.75">
      <c r="A90" s="36" t="s">
        <v>120</v>
      </c>
      <c r="F90" s="36" t="s">
        <v>178</v>
      </c>
    </row>
    <row r="91" spans="1:10" ht="12.75">
      <c r="A91" s="71" t="s">
        <v>127</v>
      </c>
      <c r="B91" s="56"/>
      <c r="C91" s="76" t="s">
        <v>125</v>
      </c>
      <c r="D91" s="77" t="s">
        <v>129</v>
      </c>
      <c r="F91" s="71" t="s">
        <v>174</v>
      </c>
      <c r="G91" s="56"/>
      <c r="H91" s="56"/>
      <c r="I91" s="56"/>
      <c r="J91" s="51"/>
    </row>
    <row r="92" spans="1:10" ht="12.75">
      <c r="A92" s="78" t="s">
        <v>121</v>
      </c>
      <c r="B92" s="22"/>
      <c r="C92" s="79">
        <f>B65/(B8+B9)</f>
        <v>4.317310354875155</v>
      </c>
      <c r="D92" s="80">
        <f>B66/(B8+B9)</f>
        <v>0.5785195875532708</v>
      </c>
      <c r="F92" s="47" t="s">
        <v>121</v>
      </c>
      <c r="G92" s="4" t="str">
        <f>IF(B77&gt;=(C66*1.25),"YES","NO")</f>
        <v>NO</v>
      </c>
      <c r="H92" s="22"/>
      <c r="I92" s="22"/>
      <c r="J92" s="70"/>
    </row>
    <row r="93" spans="1:10" ht="13.5" thickBot="1">
      <c r="A93" s="82" t="s">
        <v>193</v>
      </c>
      <c r="B93" s="25"/>
      <c r="C93" s="81">
        <f>H65/(B8+B9)</f>
        <v>16.536151170969333</v>
      </c>
      <c r="D93" s="83">
        <f>H66/(B8+B9)</f>
        <v>2.215844256909891</v>
      </c>
      <c r="F93" s="112" t="s">
        <v>145</v>
      </c>
      <c r="G93" s="113" t="str">
        <f>IF(H73&gt;=(I66*1.25),"YES","NO")</f>
        <v>NO</v>
      </c>
      <c r="H93" s="114"/>
      <c r="I93" s="114"/>
      <c r="J93" s="115"/>
    </row>
    <row r="94" spans="1:10" ht="13.5" thickTop="1">
      <c r="A94" s="47" t="s">
        <v>128</v>
      </c>
      <c r="B94" s="22"/>
      <c r="C94" s="22"/>
      <c r="D94" s="70"/>
      <c r="F94" s="47" t="s">
        <v>175</v>
      </c>
      <c r="G94" s="22"/>
      <c r="H94" s="22"/>
      <c r="I94" s="22"/>
      <c r="J94" s="70"/>
    </row>
    <row r="95" spans="1:10" ht="12.75">
      <c r="A95" s="47" t="s">
        <v>122</v>
      </c>
      <c r="B95" s="79">
        <f>(B8*B14)/B58*100</f>
        <v>89.82865475756472</v>
      </c>
      <c r="C95" s="22" t="s">
        <v>126</v>
      </c>
      <c r="D95" s="70"/>
      <c r="F95" s="106"/>
      <c r="G95" s="24" t="s">
        <v>176</v>
      </c>
      <c r="H95" s="131" t="s">
        <v>177</v>
      </c>
      <c r="I95" s="131"/>
      <c r="J95" s="131"/>
    </row>
    <row r="96" spans="1:10" ht="12.75">
      <c r="A96" s="98" t="s">
        <v>123</v>
      </c>
      <c r="B96" s="79">
        <f>(B9*B15)/B58*100</f>
        <v>10.17134524243529</v>
      </c>
      <c r="C96" s="22" t="s">
        <v>126</v>
      </c>
      <c r="D96" s="70"/>
      <c r="F96" s="33" t="s">
        <v>121</v>
      </c>
      <c r="G96" s="18">
        <f>B77/C66*100</f>
        <v>110.17908400940031</v>
      </c>
      <c r="H96" s="87">
        <f>B78</f>
        <v>14915.179104442941</v>
      </c>
      <c r="I96" s="132" t="str">
        <f>IF(H96&gt;0,"excess",IF(H96&lt;0,"shortage",IF(H96=0,"at needed capacity","")))</f>
        <v>excess</v>
      </c>
      <c r="J96" s="132"/>
    </row>
    <row r="97" spans="1:10" ht="12.75">
      <c r="A97" s="98" t="s">
        <v>179</v>
      </c>
      <c r="B97" s="79">
        <f>((B8*B14)+(B9*B15))/B58*100</f>
        <v>100</v>
      </c>
      <c r="C97" s="22" t="s">
        <v>126</v>
      </c>
      <c r="D97" s="70"/>
      <c r="F97" s="33" t="s">
        <v>145</v>
      </c>
      <c r="G97" s="18">
        <f>H73/I66*100</f>
        <v>121.12057312620728</v>
      </c>
      <c r="H97" s="87">
        <f>H74</f>
        <v>52312.92896261241</v>
      </c>
      <c r="I97" s="132" t="str">
        <f>IF(H97&gt;0,"excess",IF(H97&lt;0,"shortage",IF(H97=0,"at needed capacity","")))</f>
        <v>excess</v>
      </c>
      <c r="J97" s="132"/>
    </row>
    <row r="98" spans="1:10" ht="12.75">
      <c r="A98" s="53" t="s">
        <v>124</v>
      </c>
      <c r="B98" s="81">
        <f>((B10*B16)+(B11*B17))/B58*100</f>
        <v>0</v>
      </c>
      <c r="C98" s="25" t="s">
        <v>126</v>
      </c>
      <c r="D98" s="46"/>
      <c r="F98" s="34" t="s">
        <v>146</v>
      </c>
      <c r="G98" s="107">
        <f>B77/(C66+I66)*100</f>
        <v>40.95302845763128</v>
      </c>
      <c r="H98" s="89">
        <f>B79</f>
        <v>-232771.89193294465</v>
      </c>
      <c r="I98" s="133" t="str">
        <f>IF(H98&gt;0,"excess",IF(H98&lt;0,"shortage",IF(H98=0,"at needed capacity","")))</f>
        <v>shortage</v>
      </c>
      <c r="J98" s="133"/>
    </row>
  </sheetData>
  <sheetProtection/>
  <mergeCells count="11">
    <mergeCell ref="H95:J95"/>
    <mergeCell ref="I96:J96"/>
    <mergeCell ref="I97:J97"/>
    <mergeCell ref="I98:J98"/>
    <mergeCell ref="B6:B7"/>
    <mergeCell ref="H6:J6"/>
    <mergeCell ref="F6:F7"/>
    <mergeCell ref="G6:G7"/>
    <mergeCell ref="C6:C7"/>
    <mergeCell ref="D6:D7"/>
    <mergeCell ref="E6:E7"/>
  </mergeCells>
  <hyperlinks>
    <hyperlink ref="H37" r:id="rId1" display="http://www.wcc.nrcs.usda.gov/water/climate"/>
  </hyperlinks>
  <printOptions/>
  <pageMargins left="0.75" right="0.75" top="0.75" bottom="0.75" header="0.5" footer="0.5"/>
  <pageSetup horizontalDpi="360" verticalDpi="360" orientation="landscape" scale="86" r:id="rId5"/>
  <headerFooter alignWithMargins="0">
    <oddFooter>&amp;RDairy Management at Virginia Tech
C.M. Mowrey and M.L. McGilliard
&amp;F, Revised 12/17/01</oddFooter>
  </headerFooter>
  <rowBreaks count="1" manualBreakCount="1">
    <brk id="42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421875" style="0" customWidth="1"/>
    <col min="2" max="2" width="20.00390625" style="0" customWidth="1"/>
    <col min="5" max="5" width="12.7109375" style="0" customWidth="1"/>
  </cols>
  <sheetData>
    <row r="1" ht="12.75">
      <c r="A1" t="s">
        <v>41</v>
      </c>
    </row>
    <row r="2" spans="3:5" ht="12.75">
      <c r="C2" s="1">
        <v>1</v>
      </c>
      <c r="D2" s="1">
        <v>2</v>
      </c>
      <c r="E2" s="1">
        <v>3</v>
      </c>
    </row>
    <row r="3" spans="3:5" ht="12.75">
      <c r="C3" s="1" t="s">
        <v>95</v>
      </c>
      <c r="D3" s="1" t="s">
        <v>96</v>
      </c>
      <c r="E3" s="1" t="s">
        <v>97</v>
      </c>
    </row>
    <row r="4" spans="1:5" ht="12.75">
      <c r="A4">
        <v>1</v>
      </c>
      <c r="B4" t="s">
        <v>91</v>
      </c>
      <c r="C4" s="1">
        <v>11.3</v>
      </c>
      <c r="D4" s="1">
        <v>5.6</v>
      </c>
      <c r="E4" s="1">
        <v>19.4</v>
      </c>
    </row>
    <row r="5" spans="1:5" ht="12.75">
      <c r="A5">
        <v>2</v>
      </c>
      <c r="B5" t="s">
        <v>92</v>
      </c>
      <c r="C5" s="1">
        <v>8.6</v>
      </c>
      <c r="D5" s="1">
        <v>3.1</v>
      </c>
      <c r="E5" s="1">
        <v>1.7</v>
      </c>
    </row>
    <row r="6" spans="1:5" ht="12.75">
      <c r="A6">
        <v>3</v>
      </c>
      <c r="B6" t="s">
        <v>93</v>
      </c>
      <c r="C6" s="1">
        <v>4.5</v>
      </c>
      <c r="D6" s="1">
        <v>2.2</v>
      </c>
      <c r="E6" s="1">
        <v>1.35</v>
      </c>
    </row>
    <row r="7" spans="1:5" ht="12.75">
      <c r="A7">
        <v>4</v>
      </c>
      <c r="B7" t="s">
        <v>94</v>
      </c>
      <c r="C7" s="1"/>
      <c r="D7" s="1">
        <v>0.15</v>
      </c>
      <c r="E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5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11.28125" style="0" customWidth="1"/>
    <col min="3" max="3" width="11.140625" style="0" customWidth="1"/>
    <col min="6" max="6" width="13.28125" style="0" customWidth="1"/>
    <col min="7" max="7" width="12.421875" style="0" customWidth="1"/>
  </cols>
  <sheetData>
    <row r="1" spans="1:8" ht="12.75">
      <c r="A1" s="134" t="s">
        <v>12</v>
      </c>
      <c r="B1" s="134"/>
      <c r="C1" s="134"/>
      <c r="E1" s="137" t="s">
        <v>16</v>
      </c>
      <c r="F1" s="137"/>
      <c r="G1" s="137"/>
      <c r="H1" s="137"/>
    </row>
    <row r="2" spans="1:8" ht="12.75">
      <c r="A2" s="5" t="s">
        <v>13</v>
      </c>
      <c r="B2" s="14" t="s">
        <v>14</v>
      </c>
      <c r="C2" s="9" t="s">
        <v>15</v>
      </c>
      <c r="E2" s="138" t="s">
        <v>21</v>
      </c>
      <c r="F2" s="138"/>
      <c r="G2" s="138"/>
      <c r="H2" s="138"/>
    </row>
    <row r="3" spans="1:8" ht="12.75">
      <c r="A3" s="6">
        <v>0</v>
      </c>
      <c r="B3" s="15">
        <v>9.7</v>
      </c>
      <c r="C3" s="1"/>
      <c r="E3" s="23" t="s">
        <v>13</v>
      </c>
      <c r="F3" s="24" t="s">
        <v>17</v>
      </c>
      <c r="G3" s="24" t="s">
        <v>14</v>
      </c>
      <c r="H3" s="20" t="s">
        <v>15</v>
      </c>
    </row>
    <row r="4" spans="1:8" ht="12.75">
      <c r="A4" s="6">
        <v>40</v>
      </c>
      <c r="B4" s="15">
        <v>14.7</v>
      </c>
      <c r="C4" s="1">
        <f>$B4-$B3</f>
        <v>5</v>
      </c>
      <c r="E4" s="6">
        <v>70</v>
      </c>
      <c r="F4" s="15">
        <v>44.5</v>
      </c>
      <c r="G4" s="18">
        <f>((F4-(0.7*F4)+(0.05*F4))/0.14)/8.345</f>
        <v>13.331336129418812</v>
      </c>
      <c r="H4" s="1"/>
    </row>
    <row r="5" spans="1:8" ht="12.75">
      <c r="A5" s="6">
        <v>45</v>
      </c>
      <c r="B5" s="15">
        <v>14.9</v>
      </c>
      <c r="C5" s="1">
        <f>$B5-$B4</f>
        <v>0.20000000000000107</v>
      </c>
      <c r="E5" s="6">
        <v>73</v>
      </c>
      <c r="F5" s="15">
        <v>45.5</v>
      </c>
      <c r="G5" s="18">
        <f aca="true" t="shared" si="0" ref="G5:G19">((F5-(0.7*F5)+(0.05*F5))/0.14)/8.345</f>
        <v>13.630916716596763</v>
      </c>
      <c r="H5" s="7">
        <f>G5-G4</f>
        <v>0.29958058717795133</v>
      </c>
    </row>
    <row r="6" spans="1:8" ht="12.75">
      <c r="A6" s="6">
        <v>50</v>
      </c>
      <c r="B6" s="15">
        <v>15.1</v>
      </c>
      <c r="C6" s="1">
        <f aca="true" t="shared" si="1" ref="C6:C16">$B6-$B5</f>
        <v>0.1999999999999993</v>
      </c>
      <c r="E6" s="6">
        <v>76</v>
      </c>
      <c r="F6" s="15">
        <v>46.5</v>
      </c>
      <c r="G6" s="18">
        <f t="shared" si="0"/>
        <v>13.930497303774715</v>
      </c>
      <c r="H6" s="7">
        <f aca="true" t="shared" si="2" ref="H6:H19">G6-G5</f>
        <v>0.29958058717795133</v>
      </c>
    </row>
    <row r="7" spans="1:8" ht="12.75">
      <c r="A7" s="6">
        <v>55</v>
      </c>
      <c r="B7" s="15">
        <v>16.2</v>
      </c>
      <c r="C7" s="1">
        <f t="shared" si="1"/>
        <v>1.0999999999999996</v>
      </c>
      <c r="E7" s="6">
        <v>79</v>
      </c>
      <c r="F7" s="15">
        <v>47.5</v>
      </c>
      <c r="G7" s="18">
        <f t="shared" si="0"/>
        <v>14.230077890952664</v>
      </c>
      <c r="H7" s="7">
        <f t="shared" si="2"/>
        <v>0.29958058717794955</v>
      </c>
    </row>
    <row r="8" spans="1:8" ht="12.75">
      <c r="A8" s="6">
        <v>60</v>
      </c>
      <c r="B8" s="15">
        <v>17.2</v>
      </c>
      <c r="C8" s="1">
        <f t="shared" si="1"/>
        <v>1</v>
      </c>
      <c r="E8" s="6">
        <v>82</v>
      </c>
      <c r="F8" s="15">
        <v>48.5</v>
      </c>
      <c r="G8" s="18">
        <f t="shared" si="0"/>
        <v>14.529658478130619</v>
      </c>
      <c r="H8" s="7">
        <f t="shared" si="2"/>
        <v>0.2995805871779549</v>
      </c>
    </row>
    <row r="9" spans="1:8" ht="12.75">
      <c r="A9" s="6">
        <v>65</v>
      </c>
      <c r="B9" s="15">
        <v>18.3</v>
      </c>
      <c r="C9" s="1">
        <f t="shared" si="1"/>
        <v>1.1000000000000014</v>
      </c>
      <c r="E9" s="6">
        <v>85</v>
      </c>
      <c r="F9" s="15">
        <v>49.5</v>
      </c>
      <c r="G9" s="18">
        <f t="shared" si="0"/>
        <v>14.829239065308569</v>
      </c>
      <c r="H9" s="7">
        <f t="shared" si="2"/>
        <v>0.29958058717794955</v>
      </c>
    </row>
    <row r="10" spans="1:8" ht="12.75">
      <c r="A10" s="6">
        <v>70</v>
      </c>
      <c r="B10" s="15">
        <v>19.3</v>
      </c>
      <c r="C10" s="1">
        <f t="shared" si="1"/>
        <v>1</v>
      </c>
      <c r="E10" s="6">
        <v>88</v>
      </c>
      <c r="F10" s="15">
        <v>50.5</v>
      </c>
      <c r="G10" s="18">
        <f t="shared" si="0"/>
        <v>15.12881965248652</v>
      </c>
      <c r="H10" s="7">
        <f t="shared" si="2"/>
        <v>0.29958058717795133</v>
      </c>
    </row>
    <row r="11" spans="1:8" ht="12.75">
      <c r="A11" s="6">
        <v>75</v>
      </c>
      <c r="B11" s="15">
        <v>20.1</v>
      </c>
      <c r="C11" s="1">
        <f t="shared" si="1"/>
        <v>0.8000000000000007</v>
      </c>
      <c r="E11" s="6">
        <v>91</v>
      </c>
      <c r="F11" s="15">
        <v>51.5</v>
      </c>
      <c r="G11" s="18">
        <f t="shared" si="0"/>
        <v>15.428400239664468</v>
      </c>
      <c r="H11" s="7">
        <f t="shared" si="2"/>
        <v>0.2995805871779478</v>
      </c>
    </row>
    <row r="12" spans="1:8" ht="12.75">
      <c r="A12" s="6">
        <v>80</v>
      </c>
      <c r="B12" s="15">
        <v>20.8</v>
      </c>
      <c r="C12" s="1">
        <f t="shared" si="1"/>
        <v>0.6999999999999993</v>
      </c>
      <c r="E12" s="6">
        <v>94</v>
      </c>
      <c r="F12" s="15">
        <v>52.5</v>
      </c>
      <c r="G12" s="18">
        <f t="shared" si="0"/>
        <v>15.727980826842419</v>
      </c>
      <c r="H12" s="7">
        <f t="shared" si="2"/>
        <v>0.29958058717795133</v>
      </c>
    </row>
    <row r="13" spans="1:8" ht="12.75">
      <c r="A13" s="6">
        <v>85</v>
      </c>
      <c r="B13" s="15">
        <v>21.5</v>
      </c>
      <c r="C13" s="1">
        <f t="shared" si="1"/>
        <v>0.6999999999999993</v>
      </c>
      <c r="E13" s="6">
        <v>97</v>
      </c>
      <c r="F13" s="15">
        <v>53.5</v>
      </c>
      <c r="G13" s="18">
        <f t="shared" si="0"/>
        <v>16.027561414020372</v>
      </c>
      <c r="H13" s="7">
        <f t="shared" si="2"/>
        <v>0.2995805871779531</v>
      </c>
    </row>
    <row r="14" spans="1:8" ht="12.75">
      <c r="A14" s="6">
        <v>90</v>
      </c>
      <c r="B14" s="15">
        <v>22.2</v>
      </c>
      <c r="C14" s="1">
        <f t="shared" si="1"/>
        <v>0.6999999999999993</v>
      </c>
      <c r="E14" s="6">
        <v>100</v>
      </c>
      <c r="F14" s="15">
        <v>54.5</v>
      </c>
      <c r="G14" s="18">
        <f t="shared" si="0"/>
        <v>16.32714200119832</v>
      </c>
      <c r="H14" s="7">
        <f t="shared" si="2"/>
        <v>0.29958058717794955</v>
      </c>
    </row>
    <row r="15" spans="1:8" ht="12.75">
      <c r="A15" s="6">
        <v>95</v>
      </c>
      <c r="B15" s="15">
        <v>22.9</v>
      </c>
      <c r="C15" s="1">
        <f t="shared" si="1"/>
        <v>0.6999999999999993</v>
      </c>
      <c r="E15" s="6">
        <v>103</v>
      </c>
      <c r="F15" s="15">
        <v>55.5</v>
      </c>
      <c r="G15" s="18">
        <f t="shared" si="0"/>
        <v>16.626722588376275</v>
      </c>
      <c r="H15" s="7">
        <f t="shared" si="2"/>
        <v>0.2995805871779531</v>
      </c>
    </row>
    <row r="16" spans="1:8" ht="12.75">
      <c r="A16" s="6">
        <v>100</v>
      </c>
      <c r="B16" s="15">
        <v>23.6</v>
      </c>
      <c r="C16" s="1">
        <f t="shared" si="1"/>
        <v>0.7000000000000028</v>
      </c>
      <c r="E16" s="6">
        <v>106</v>
      </c>
      <c r="F16" s="15">
        <v>56.5</v>
      </c>
      <c r="G16" s="18">
        <f t="shared" si="0"/>
        <v>16.926303175554224</v>
      </c>
      <c r="H16" s="7">
        <f t="shared" si="2"/>
        <v>0.29958058717794955</v>
      </c>
    </row>
    <row r="17" spans="5:8" ht="12.75">
      <c r="E17" s="6">
        <v>109</v>
      </c>
      <c r="F17" s="15">
        <v>57.5</v>
      </c>
      <c r="G17" s="18">
        <f t="shared" si="0"/>
        <v>17.225883762732174</v>
      </c>
      <c r="H17" s="7">
        <f t="shared" si="2"/>
        <v>0.29958058717794955</v>
      </c>
    </row>
    <row r="18" spans="5:8" ht="12.75">
      <c r="E18" s="6">
        <v>112</v>
      </c>
      <c r="F18" s="15">
        <v>58.5</v>
      </c>
      <c r="G18" s="18">
        <f t="shared" si="0"/>
        <v>17.525464349910127</v>
      </c>
      <c r="H18" s="7">
        <f t="shared" si="2"/>
        <v>0.2995805871779531</v>
      </c>
    </row>
    <row r="19" spans="5:8" ht="12.75">
      <c r="E19" s="6">
        <v>115</v>
      </c>
      <c r="F19" s="15">
        <v>59.5</v>
      </c>
      <c r="G19" s="18">
        <f t="shared" si="0"/>
        <v>17.825044937088077</v>
      </c>
      <c r="H19" s="7">
        <f t="shared" si="2"/>
        <v>0.29958058717794955</v>
      </c>
    </row>
    <row r="21" spans="1:7" ht="12.75">
      <c r="A21" s="137" t="s">
        <v>16</v>
      </c>
      <c r="B21" s="137"/>
      <c r="C21" s="137"/>
      <c r="D21" s="137"/>
      <c r="E21" s="137"/>
      <c r="F21" s="137"/>
      <c r="G21" s="137"/>
    </row>
    <row r="22" spans="1:7" ht="12.75">
      <c r="A22" s="138" t="s">
        <v>22</v>
      </c>
      <c r="B22" s="138"/>
      <c r="C22" s="138"/>
      <c r="D22" s="138"/>
      <c r="E22" s="138"/>
      <c r="F22" s="138"/>
      <c r="G22" s="138"/>
    </row>
    <row r="23" spans="2:7" ht="12.75">
      <c r="B23" s="135" t="s">
        <v>17</v>
      </c>
      <c r="C23" s="136"/>
      <c r="D23" s="135" t="s">
        <v>14</v>
      </c>
      <c r="E23" s="136"/>
      <c r="F23" s="139" t="s">
        <v>15</v>
      </c>
      <c r="G23" s="139"/>
    </row>
    <row r="24" spans="1:5" ht="12.75">
      <c r="A24" s="6" t="s">
        <v>13</v>
      </c>
      <c r="B24" s="135" t="s">
        <v>7</v>
      </c>
      <c r="C24" s="136"/>
      <c r="D24" s="135" t="s">
        <v>8</v>
      </c>
      <c r="E24" s="136"/>
    </row>
    <row r="25" spans="1:7" ht="12.75">
      <c r="A25" s="5"/>
      <c r="B25" s="9" t="s">
        <v>5</v>
      </c>
      <c r="C25" s="5" t="s">
        <v>6</v>
      </c>
      <c r="D25" s="9" t="s">
        <v>5</v>
      </c>
      <c r="E25" s="5" t="s">
        <v>6</v>
      </c>
      <c r="F25" s="3" t="s">
        <v>5</v>
      </c>
      <c r="G25" s="3" t="s">
        <v>6</v>
      </c>
    </row>
    <row r="26" spans="1:7" ht="12.75">
      <c r="A26" s="6">
        <v>70</v>
      </c>
      <c r="B26" s="8">
        <v>45.5</v>
      </c>
      <c r="C26" s="6">
        <v>52</v>
      </c>
      <c r="D26" s="12">
        <f>((B26-(0.7*B26)+(0.05*B26))/0.14)/8.345</f>
        <v>13.630916716596763</v>
      </c>
      <c r="E26" s="13">
        <f>((C26-(0.7*C26)+(0.05*C26))/0.14)/8.345</f>
        <v>15.578190533253444</v>
      </c>
      <c r="F26" s="1"/>
      <c r="G26" s="1"/>
    </row>
    <row r="27" spans="1:7" ht="12.75">
      <c r="A27" s="6">
        <v>73</v>
      </c>
      <c r="B27" s="8">
        <v>46.5</v>
      </c>
      <c r="C27" s="6">
        <v>53</v>
      </c>
      <c r="D27" s="12">
        <f aca="true" t="shared" si="3" ref="D27:D41">((B27-(0.7*B27)+(0.05*B27))/0.14)/8.345</f>
        <v>13.930497303774715</v>
      </c>
      <c r="E27" s="13">
        <f aca="true" t="shared" si="4" ref="E27:E40">((C27-(0.7*C27)+(0.05*C27))/0.14)/8.345</f>
        <v>15.877771120431397</v>
      </c>
      <c r="F27" s="7">
        <f>D27-D26</f>
        <v>0.29958058717795133</v>
      </c>
      <c r="G27" s="7">
        <f>E27-E26</f>
        <v>0.2995805871779531</v>
      </c>
    </row>
    <row r="28" spans="1:7" ht="12.75">
      <c r="A28" s="6">
        <v>76</v>
      </c>
      <c r="B28" s="8">
        <v>47.5</v>
      </c>
      <c r="C28" s="6">
        <v>54</v>
      </c>
      <c r="D28" s="12">
        <f t="shared" si="3"/>
        <v>14.230077890952664</v>
      </c>
      <c r="E28" s="13">
        <f t="shared" si="4"/>
        <v>16.177351707609347</v>
      </c>
      <c r="F28" s="7">
        <f aca="true" t="shared" si="5" ref="F28:F41">D28-D27</f>
        <v>0.29958058717794955</v>
      </c>
      <c r="G28" s="7">
        <f aca="true" t="shared" si="6" ref="G28:G41">E28-E27</f>
        <v>0.29958058717794955</v>
      </c>
    </row>
    <row r="29" spans="1:7" ht="12.75">
      <c r="A29" s="6">
        <v>79</v>
      </c>
      <c r="B29" s="8">
        <v>48.5</v>
      </c>
      <c r="C29" s="6">
        <v>55</v>
      </c>
      <c r="D29" s="12">
        <f t="shared" si="3"/>
        <v>14.529658478130619</v>
      </c>
      <c r="E29" s="13">
        <f t="shared" si="4"/>
        <v>16.476932294787296</v>
      </c>
      <c r="F29" s="7">
        <f t="shared" si="5"/>
        <v>0.2995805871779549</v>
      </c>
      <c r="G29" s="7">
        <f t="shared" si="6"/>
        <v>0.29958058717794955</v>
      </c>
    </row>
    <row r="30" spans="1:7" ht="12.75">
      <c r="A30" s="6">
        <v>82</v>
      </c>
      <c r="B30" s="8">
        <v>49.5</v>
      </c>
      <c r="C30" s="6">
        <v>56</v>
      </c>
      <c r="D30" s="12">
        <f t="shared" si="3"/>
        <v>14.829239065308569</v>
      </c>
      <c r="E30" s="13">
        <f t="shared" si="4"/>
        <v>16.77651288196525</v>
      </c>
      <c r="F30" s="7">
        <f t="shared" si="5"/>
        <v>0.29958058717794955</v>
      </c>
      <c r="G30" s="7">
        <f t="shared" si="6"/>
        <v>0.2995805871779531</v>
      </c>
    </row>
    <row r="31" spans="1:7" ht="12.75">
      <c r="A31" s="6">
        <v>85</v>
      </c>
      <c r="B31" s="8">
        <v>50.5</v>
      </c>
      <c r="C31" s="6">
        <v>57</v>
      </c>
      <c r="D31" s="12">
        <f t="shared" si="3"/>
        <v>15.12881965248652</v>
      </c>
      <c r="E31" s="13">
        <f t="shared" si="4"/>
        <v>17.0760934691432</v>
      </c>
      <c r="F31" s="7">
        <f t="shared" si="5"/>
        <v>0.29958058717795133</v>
      </c>
      <c r="G31" s="7">
        <f t="shared" si="6"/>
        <v>0.29958058717794955</v>
      </c>
    </row>
    <row r="32" spans="1:7" ht="12.75">
      <c r="A32" s="6">
        <v>88</v>
      </c>
      <c r="B32" s="8">
        <v>51.5</v>
      </c>
      <c r="C32" s="6">
        <v>58</v>
      </c>
      <c r="D32" s="12">
        <f t="shared" si="3"/>
        <v>15.428400239664468</v>
      </c>
      <c r="E32" s="13">
        <f t="shared" si="4"/>
        <v>17.375674056321152</v>
      </c>
      <c r="F32" s="7">
        <f t="shared" si="5"/>
        <v>0.2995805871779478</v>
      </c>
      <c r="G32" s="7">
        <f t="shared" si="6"/>
        <v>0.2995805871779531</v>
      </c>
    </row>
    <row r="33" spans="1:7" ht="12.75">
      <c r="A33" s="6">
        <v>91</v>
      </c>
      <c r="B33" s="8">
        <v>52.5</v>
      </c>
      <c r="C33" s="6">
        <v>59</v>
      </c>
      <c r="D33" s="12">
        <f t="shared" si="3"/>
        <v>15.727980826842419</v>
      </c>
      <c r="E33" s="13">
        <f t="shared" si="4"/>
        <v>17.6752546434991</v>
      </c>
      <c r="F33" s="7">
        <f t="shared" si="5"/>
        <v>0.29958058717795133</v>
      </c>
      <c r="G33" s="7">
        <f t="shared" si="6"/>
        <v>0.299580587177946</v>
      </c>
    </row>
    <row r="34" spans="1:7" ht="12.75">
      <c r="A34" s="6">
        <v>94</v>
      </c>
      <c r="B34" s="8">
        <v>53.5</v>
      </c>
      <c r="C34" s="6">
        <v>60</v>
      </c>
      <c r="D34" s="12">
        <f t="shared" si="3"/>
        <v>16.027561414020372</v>
      </c>
      <c r="E34" s="13">
        <f t="shared" si="4"/>
        <v>17.974835230677048</v>
      </c>
      <c r="F34" s="7">
        <f t="shared" si="5"/>
        <v>0.2995805871779531</v>
      </c>
      <c r="G34" s="7">
        <f t="shared" si="6"/>
        <v>0.29958058717794955</v>
      </c>
    </row>
    <row r="35" spans="1:7" ht="12.75">
      <c r="A35" s="6">
        <v>97</v>
      </c>
      <c r="B35" s="8">
        <v>54.5</v>
      </c>
      <c r="C35" s="6">
        <v>61</v>
      </c>
      <c r="D35" s="12">
        <f t="shared" si="3"/>
        <v>16.32714200119832</v>
      </c>
      <c r="E35" s="13">
        <f t="shared" si="4"/>
        <v>18.274415817855004</v>
      </c>
      <c r="F35" s="7">
        <f t="shared" si="5"/>
        <v>0.29958058717794955</v>
      </c>
      <c r="G35" s="7">
        <f t="shared" si="6"/>
        <v>0.29958058717795666</v>
      </c>
    </row>
    <row r="36" spans="1:7" ht="12.75">
      <c r="A36" s="6">
        <v>100</v>
      </c>
      <c r="B36" s="8">
        <v>55.5</v>
      </c>
      <c r="C36" s="6">
        <v>62</v>
      </c>
      <c r="D36" s="12">
        <f t="shared" si="3"/>
        <v>16.626722588376275</v>
      </c>
      <c r="E36" s="13">
        <f t="shared" si="4"/>
        <v>18.573996405032954</v>
      </c>
      <c r="F36" s="7">
        <f t="shared" si="5"/>
        <v>0.2995805871779531</v>
      </c>
      <c r="G36" s="7">
        <f t="shared" si="6"/>
        <v>0.29958058717794955</v>
      </c>
    </row>
    <row r="37" spans="1:7" ht="12.75">
      <c r="A37" s="6">
        <v>103</v>
      </c>
      <c r="B37" s="8">
        <v>56.5</v>
      </c>
      <c r="C37" s="6">
        <v>63</v>
      </c>
      <c r="D37" s="12">
        <f t="shared" si="3"/>
        <v>16.926303175554224</v>
      </c>
      <c r="E37" s="13">
        <f t="shared" si="4"/>
        <v>18.873576992210907</v>
      </c>
      <c r="F37" s="7">
        <f t="shared" si="5"/>
        <v>0.29958058717794955</v>
      </c>
      <c r="G37" s="7">
        <f t="shared" si="6"/>
        <v>0.2995805871779531</v>
      </c>
    </row>
    <row r="38" spans="1:7" ht="12.75">
      <c r="A38" s="6">
        <v>106</v>
      </c>
      <c r="B38" s="8">
        <v>57.5</v>
      </c>
      <c r="C38" s="6">
        <v>64</v>
      </c>
      <c r="D38" s="12">
        <f t="shared" si="3"/>
        <v>17.225883762732174</v>
      </c>
      <c r="E38" s="13">
        <f t="shared" si="4"/>
        <v>19.173157579388853</v>
      </c>
      <c r="F38" s="7">
        <f t="shared" si="5"/>
        <v>0.29958058717794955</v>
      </c>
      <c r="G38" s="7">
        <f t="shared" si="6"/>
        <v>0.299580587177946</v>
      </c>
    </row>
    <row r="39" spans="1:7" ht="12.75">
      <c r="A39" s="6">
        <v>109</v>
      </c>
      <c r="B39" s="8">
        <v>58.5</v>
      </c>
      <c r="C39" s="6">
        <v>65</v>
      </c>
      <c r="D39" s="12">
        <f>((B39-(0.7*B39)+(0.05*B39))/0.14)/8.345</f>
        <v>17.525464349910127</v>
      </c>
      <c r="E39" s="13">
        <f t="shared" si="4"/>
        <v>19.472738166566803</v>
      </c>
      <c r="F39" s="7">
        <f t="shared" si="5"/>
        <v>0.2995805871779531</v>
      </c>
      <c r="G39" s="7">
        <f t="shared" si="6"/>
        <v>0.29958058717794955</v>
      </c>
    </row>
    <row r="40" spans="1:7" ht="12.75">
      <c r="A40" s="6">
        <v>112</v>
      </c>
      <c r="B40" s="8">
        <v>59.5</v>
      </c>
      <c r="C40" s="6">
        <v>66</v>
      </c>
      <c r="D40" s="12">
        <f t="shared" si="3"/>
        <v>17.825044937088077</v>
      </c>
      <c r="E40" s="13">
        <f t="shared" si="4"/>
        <v>19.77231875374476</v>
      </c>
      <c r="F40" s="7">
        <f t="shared" si="5"/>
        <v>0.29958058717794955</v>
      </c>
      <c r="G40" s="7">
        <f t="shared" si="6"/>
        <v>0.29958058717795666</v>
      </c>
    </row>
    <row r="41" spans="1:7" ht="12.75">
      <c r="A41" s="6">
        <v>115</v>
      </c>
      <c r="B41" s="8">
        <v>60.5</v>
      </c>
      <c r="C41" s="6">
        <v>67</v>
      </c>
      <c r="D41" s="12">
        <f t="shared" si="3"/>
        <v>18.12462552426603</v>
      </c>
      <c r="E41" s="13">
        <f>((C41-(0.7*C41)+(0.05*C41))/0.14)/8.345</f>
        <v>20.071899340922705</v>
      </c>
      <c r="F41" s="7">
        <f t="shared" si="5"/>
        <v>0.2995805871779531</v>
      </c>
      <c r="G41" s="7">
        <f t="shared" si="6"/>
        <v>0.299580587177946</v>
      </c>
    </row>
    <row r="43" spans="1:7" ht="12.75">
      <c r="A43" s="134" t="s">
        <v>18</v>
      </c>
      <c r="B43" s="134"/>
      <c r="C43" s="134"/>
      <c r="D43" s="134"/>
      <c r="E43" s="134"/>
      <c r="F43" s="134"/>
      <c r="G43" s="134"/>
    </row>
    <row r="44" spans="1:7" ht="12.75">
      <c r="A44" s="16" t="s">
        <v>13</v>
      </c>
      <c r="B44" s="140" t="s">
        <v>20</v>
      </c>
      <c r="C44" s="141"/>
      <c r="D44" s="140" t="s">
        <v>9</v>
      </c>
      <c r="E44" s="141"/>
      <c r="F44" s="17" t="s">
        <v>4</v>
      </c>
      <c r="G44" s="1" t="s">
        <v>15</v>
      </c>
    </row>
    <row r="45" spans="1:7" ht="12.75">
      <c r="A45" s="5" t="s">
        <v>19</v>
      </c>
      <c r="B45" s="9" t="s">
        <v>11</v>
      </c>
      <c r="C45" s="5" t="s">
        <v>10</v>
      </c>
      <c r="D45" s="9" t="s">
        <v>10</v>
      </c>
      <c r="E45" s="5" t="s">
        <v>11</v>
      </c>
      <c r="F45" s="14" t="s">
        <v>8</v>
      </c>
      <c r="G45" s="3"/>
    </row>
    <row r="46" spans="1:7" ht="12.75">
      <c r="A46" s="6">
        <v>40</v>
      </c>
      <c r="B46" s="12">
        <f>(A46*0.4)+(15*A46*0.035)</f>
        <v>37</v>
      </c>
      <c r="C46" s="13">
        <f>B46/2.2</f>
        <v>16.818181818181817</v>
      </c>
      <c r="D46" s="12">
        <f>11.4+0.3*C46</f>
        <v>16.445454545454545</v>
      </c>
      <c r="E46" s="13">
        <f>D46*2.2</f>
        <v>36.18</v>
      </c>
      <c r="F46" s="18">
        <f>((E46-(0.7*E46)+(0.05*E46))/0.14)/8.345</f>
        <v>10.838825644098264</v>
      </c>
      <c r="G46" s="1"/>
    </row>
    <row r="47" spans="1:7" ht="12.75">
      <c r="A47" s="6">
        <v>45</v>
      </c>
      <c r="B47" s="12">
        <f aca="true" t="shared" si="7" ref="B47:B61">(A47*0.4)+(15*A47*0.035)</f>
        <v>41.625</v>
      </c>
      <c r="C47" s="13">
        <f aca="true" t="shared" si="8" ref="C47:C61">B47/2.2</f>
        <v>18.920454545454543</v>
      </c>
      <c r="D47" s="12">
        <f aca="true" t="shared" si="9" ref="D47:D61">11.4+0.3*C47</f>
        <v>17.076136363636362</v>
      </c>
      <c r="E47" s="13">
        <f aca="true" t="shared" si="10" ref="E47:E61">D47*2.2</f>
        <v>37.5675</v>
      </c>
      <c r="F47" s="18">
        <f aca="true" t="shared" si="11" ref="F47:F61">((E47-(0.7*E47)+(0.05*E47))/0.14)/8.345</f>
        <v>11.254493708807669</v>
      </c>
      <c r="G47" s="7">
        <f>F47-F46</f>
        <v>0.4156680647094042</v>
      </c>
    </row>
    <row r="48" spans="1:7" ht="12.75">
      <c r="A48" s="6">
        <v>50</v>
      </c>
      <c r="B48" s="12">
        <f t="shared" si="7"/>
        <v>46.25</v>
      </c>
      <c r="C48" s="13">
        <f t="shared" si="8"/>
        <v>21.02272727272727</v>
      </c>
      <c r="D48" s="12">
        <f t="shared" si="9"/>
        <v>17.706818181818182</v>
      </c>
      <c r="E48" s="13">
        <f t="shared" si="10"/>
        <v>38.955000000000005</v>
      </c>
      <c r="F48" s="18">
        <f t="shared" si="11"/>
        <v>11.670161773517076</v>
      </c>
      <c r="G48" s="7">
        <f aca="true" t="shared" si="12" ref="G48:G61">F48-F47</f>
        <v>0.41566806470940776</v>
      </c>
    </row>
    <row r="49" spans="1:7" ht="12.75">
      <c r="A49" s="6">
        <v>55</v>
      </c>
      <c r="B49" s="12">
        <f t="shared" si="7"/>
        <v>50.875</v>
      </c>
      <c r="C49" s="13">
        <f t="shared" si="8"/>
        <v>23.124999999999996</v>
      </c>
      <c r="D49" s="12">
        <f t="shared" si="9"/>
        <v>18.3375</v>
      </c>
      <c r="E49" s="13">
        <f t="shared" si="10"/>
        <v>40.3425</v>
      </c>
      <c r="F49" s="18">
        <f t="shared" si="11"/>
        <v>12.085829838226484</v>
      </c>
      <c r="G49" s="7">
        <f t="shared" si="12"/>
        <v>0.41566806470940776</v>
      </c>
    </row>
    <row r="50" spans="1:7" ht="12.75">
      <c r="A50" s="6">
        <v>60</v>
      </c>
      <c r="B50" s="12">
        <f t="shared" si="7"/>
        <v>55.5</v>
      </c>
      <c r="C50" s="13">
        <f t="shared" si="8"/>
        <v>25.227272727272727</v>
      </c>
      <c r="D50" s="12">
        <f t="shared" si="9"/>
        <v>18.96818181818182</v>
      </c>
      <c r="E50" s="13">
        <f t="shared" si="10"/>
        <v>41.730000000000004</v>
      </c>
      <c r="F50" s="18">
        <f t="shared" si="11"/>
        <v>12.50149790293589</v>
      </c>
      <c r="G50" s="7">
        <f t="shared" si="12"/>
        <v>0.415668064709406</v>
      </c>
    </row>
    <row r="51" spans="1:7" ht="12.75">
      <c r="A51" s="6">
        <v>65</v>
      </c>
      <c r="B51" s="12">
        <f t="shared" si="7"/>
        <v>60.125</v>
      </c>
      <c r="C51" s="13">
        <f t="shared" si="8"/>
        <v>27.329545454545453</v>
      </c>
      <c r="D51" s="12">
        <f t="shared" si="9"/>
        <v>19.598863636363635</v>
      </c>
      <c r="E51" s="13">
        <f t="shared" si="10"/>
        <v>43.1175</v>
      </c>
      <c r="F51" s="18">
        <f t="shared" si="11"/>
        <v>12.917165967645298</v>
      </c>
      <c r="G51" s="7">
        <f t="shared" si="12"/>
        <v>0.41566806470940776</v>
      </c>
    </row>
    <row r="52" spans="1:7" ht="12.75">
      <c r="A52" s="6">
        <v>70</v>
      </c>
      <c r="B52" s="12">
        <f t="shared" si="7"/>
        <v>64.75</v>
      </c>
      <c r="C52" s="13">
        <f t="shared" si="8"/>
        <v>29.43181818181818</v>
      </c>
      <c r="D52" s="12">
        <f t="shared" si="9"/>
        <v>20.229545454545452</v>
      </c>
      <c r="E52" s="13">
        <f t="shared" si="10"/>
        <v>44.504999999999995</v>
      </c>
      <c r="F52" s="18">
        <f t="shared" si="11"/>
        <v>13.3328340323547</v>
      </c>
      <c r="G52" s="7">
        <f t="shared" si="12"/>
        <v>0.41566806470940243</v>
      </c>
    </row>
    <row r="53" spans="1:7" ht="12.75">
      <c r="A53" s="6">
        <v>75</v>
      </c>
      <c r="B53" s="12">
        <f t="shared" si="7"/>
        <v>69.375</v>
      </c>
      <c r="C53" s="13">
        <f t="shared" si="8"/>
        <v>31.534090909090907</v>
      </c>
      <c r="D53" s="12">
        <f t="shared" si="9"/>
        <v>20.860227272727272</v>
      </c>
      <c r="E53" s="13">
        <f t="shared" si="10"/>
        <v>45.892500000000005</v>
      </c>
      <c r="F53" s="18">
        <f t="shared" si="11"/>
        <v>13.748502097064113</v>
      </c>
      <c r="G53" s="7">
        <f t="shared" si="12"/>
        <v>0.4156680647094131</v>
      </c>
    </row>
    <row r="54" spans="1:7" ht="12.75">
      <c r="A54" s="6">
        <v>80</v>
      </c>
      <c r="B54" s="12">
        <f t="shared" si="7"/>
        <v>74</v>
      </c>
      <c r="C54" s="13">
        <f t="shared" si="8"/>
        <v>33.63636363636363</v>
      </c>
      <c r="D54" s="12">
        <f t="shared" si="9"/>
        <v>21.490909090909092</v>
      </c>
      <c r="E54" s="13">
        <f t="shared" si="10"/>
        <v>47.28000000000001</v>
      </c>
      <c r="F54" s="18">
        <f t="shared" si="11"/>
        <v>14.16417016177352</v>
      </c>
      <c r="G54" s="7">
        <f t="shared" si="12"/>
        <v>0.415668064709406</v>
      </c>
    </row>
    <row r="55" spans="1:7" ht="12.75">
      <c r="A55" s="6">
        <v>85</v>
      </c>
      <c r="B55" s="12">
        <f t="shared" si="7"/>
        <v>78.625</v>
      </c>
      <c r="C55" s="13">
        <f t="shared" si="8"/>
        <v>35.73863636363636</v>
      </c>
      <c r="D55" s="12">
        <f t="shared" si="9"/>
        <v>22.12159090909091</v>
      </c>
      <c r="E55" s="13">
        <f t="shared" si="10"/>
        <v>48.667500000000004</v>
      </c>
      <c r="F55" s="18">
        <f t="shared" si="11"/>
        <v>14.579838226482925</v>
      </c>
      <c r="G55" s="7">
        <f t="shared" si="12"/>
        <v>0.415668064709406</v>
      </c>
    </row>
    <row r="56" spans="1:7" ht="12.75">
      <c r="A56" s="6">
        <v>90</v>
      </c>
      <c r="B56" s="12">
        <f t="shared" si="7"/>
        <v>83.25</v>
      </c>
      <c r="C56" s="13">
        <f t="shared" si="8"/>
        <v>37.840909090909086</v>
      </c>
      <c r="D56" s="12">
        <f t="shared" si="9"/>
        <v>22.752272727272725</v>
      </c>
      <c r="E56" s="13">
        <f t="shared" si="10"/>
        <v>50.055</v>
      </c>
      <c r="F56" s="18">
        <f t="shared" si="11"/>
        <v>14.995506291192328</v>
      </c>
      <c r="G56" s="7">
        <f t="shared" si="12"/>
        <v>0.41566806470940243</v>
      </c>
    </row>
    <row r="57" spans="1:7" ht="12.75">
      <c r="A57" s="6">
        <v>95</v>
      </c>
      <c r="B57" s="12">
        <f t="shared" si="7"/>
        <v>87.875</v>
      </c>
      <c r="C57" s="13">
        <f t="shared" si="8"/>
        <v>39.94318181818181</v>
      </c>
      <c r="D57" s="12">
        <f t="shared" si="9"/>
        <v>23.382954545454545</v>
      </c>
      <c r="E57" s="13">
        <f t="shared" si="10"/>
        <v>51.4425</v>
      </c>
      <c r="F57" s="18">
        <f t="shared" si="11"/>
        <v>15.41117435590174</v>
      </c>
      <c r="G57" s="7">
        <f t="shared" si="12"/>
        <v>0.4156680647094113</v>
      </c>
    </row>
    <row r="58" spans="1:7" ht="12.75">
      <c r="A58" s="6">
        <v>100</v>
      </c>
      <c r="B58" s="12">
        <f t="shared" si="7"/>
        <v>92.5</v>
      </c>
      <c r="C58" s="13">
        <f t="shared" si="8"/>
        <v>42.04545454545454</v>
      </c>
      <c r="D58" s="12">
        <f t="shared" si="9"/>
        <v>24.013636363636362</v>
      </c>
      <c r="E58" s="13">
        <f t="shared" si="10"/>
        <v>52.83</v>
      </c>
      <c r="F58" s="18">
        <f t="shared" si="11"/>
        <v>15.826842420611145</v>
      </c>
      <c r="G58" s="7">
        <f t="shared" si="12"/>
        <v>0.415668064709406</v>
      </c>
    </row>
    <row r="59" spans="1:7" ht="12.75">
      <c r="A59" s="6">
        <v>105</v>
      </c>
      <c r="B59" s="12">
        <f t="shared" si="7"/>
        <v>97.125</v>
      </c>
      <c r="C59" s="13">
        <f t="shared" si="8"/>
        <v>44.147727272727266</v>
      </c>
      <c r="D59" s="12">
        <f t="shared" si="9"/>
        <v>24.64431818181818</v>
      </c>
      <c r="E59" s="13">
        <f t="shared" si="10"/>
        <v>54.217499999999994</v>
      </c>
      <c r="F59" s="18">
        <f t="shared" si="11"/>
        <v>16.24251048532055</v>
      </c>
      <c r="G59" s="7">
        <f t="shared" si="12"/>
        <v>0.415668064709406</v>
      </c>
    </row>
    <row r="60" spans="1:7" ht="12.75">
      <c r="A60" s="6">
        <v>110</v>
      </c>
      <c r="B60" s="12">
        <f t="shared" si="7"/>
        <v>101.75</v>
      </c>
      <c r="C60" s="13">
        <f t="shared" si="8"/>
        <v>46.24999999999999</v>
      </c>
      <c r="D60" s="12">
        <f t="shared" si="9"/>
        <v>25.275</v>
      </c>
      <c r="E60" s="13">
        <f t="shared" si="10"/>
        <v>55.605000000000004</v>
      </c>
      <c r="F60" s="18">
        <f t="shared" si="11"/>
        <v>16.658178550029962</v>
      </c>
      <c r="G60" s="7">
        <f t="shared" si="12"/>
        <v>0.4156680647094113</v>
      </c>
    </row>
    <row r="61" spans="1:7" ht="12.75">
      <c r="A61" s="6">
        <v>115</v>
      </c>
      <c r="B61" s="12">
        <f t="shared" si="7"/>
        <v>106.375</v>
      </c>
      <c r="C61" s="13">
        <f t="shared" si="8"/>
        <v>48.35227272727273</v>
      </c>
      <c r="D61" s="12">
        <f t="shared" si="9"/>
        <v>25.90568181818182</v>
      </c>
      <c r="E61" s="13">
        <f t="shared" si="10"/>
        <v>56.99250000000001</v>
      </c>
      <c r="F61" s="18">
        <f t="shared" si="11"/>
        <v>17.073846614739367</v>
      </c>
      <c r="G61" s="7">
        <f t="shared" si="12"/>
        <v>0.4156680647094042</v>
      </c>
    </row>
    <row r="62" spans="1:7" ht="12.75">
      <c r="A62" s="4"/>
      <c r="B62" s="19"/>
      <c r="C62" s="19"/>
      <c r="D62" s="19"/>
      <c r="E62" s="19"/>
      <c r="F62" s="19"/>
      <c r="G62" s="7"/>
    </row>
    <row r="63" spans="1:7" ht="12.75">
      <c r="A63" s="4"/>
      <c r="B63" s="19"/>
      <c r="C63" s="19"/>
      <c r="D63" s="19"/>
      <c r="E63" s="19"/>
      <c r="F63" s="19"/>
      <c r="G63" s="7"/>
    </row>
    <row r="64" spans="5:7" ht="12.75">
      <c r="E64" s="2"/>
      <c r="F64" s="2"/>
      <c r="G64" s="2"/>
    </row>
    <row r="65" spans="5:8" ht="12.75">
      <c r="E65" s="21"/>
      <c r="F65" s="21"/>
      <c r="G65" s="21"/>
      <c r="H65" s="22"/>
    </row>
  </sheetData>
  <sheetProtection/>
  <mergeCells count="13">
    <mergeCell ref="B44:C44"/>
    <mergeCell ref="D44:E44"/>
    <mergeCell ref="A43:G43"/>
    <mergeCell ref="A1:C1"/>
    <mergeCell ref="B24:C24"/>
    <mergeCell ref="B23:C23"/>
    <mergeCell ref="D23:E23"/>
    <mergeCell ref="D24:E24"/>
    <mergeCell ref="E1:H1"/>
    <mergeCell ref="E2:H2"/>
    <mergeCell ref="F23:G23"/>
    <mergeCell ref="A21:G21"/>
    <mergeCell ref="A22:G22"/>
  </mergeCells>
  <printOptions/>
  <pageMargins left="0.75" right="0.75" top="0.75" bottom="0.75" header="0.5" footer="0.5"/>
  <pageSetup fitToHeight="1" fitToWidth="1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Dairy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Mowrey</dc:creator>
  <cp:keywords/>
  <dc:description/>
  <cp:lastModifiedBy>Laura</cp:lastModifiedBy>
  <cp:lastPrinted>2001-09-26T20:45:19Z</cp:lastPrinted>
  <dcterms:created xsi:type="dcterms:W3CDTF">2000-08-10T14:40:06Z</dcterms:created>
  <dcterms:modified xsi:type="dcterms:W3CDTF">2017-03-10T15:33:10Z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